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April24_Scenarios/15Day_Proposed_9step_30 - Copy/"/>
    </mc:Choice>
  </mc:AlternateContent>
  <xr:revisionPtr revIDLastSave="0" documentId="8_{F7193EDF-3709-496A-8398-57F589AB65E2}" xr6:coauthVersionLast="47" xr6:coauthVersionMax="47" xr10:uidLastSave="{00000000-0000-0000-0000-000000000000}"/>
  <bookViews>
    <workbookView xWindow="28680" yWindow="-120" windowWidth="29040" windowHeight="15840" tabRatio="719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  <externalReference r:id="rId12"/>
  </externalReferences>
  <definedNames>
    <definedName name="_xlnm._FilterDatabase" localSheetId="2" hidden="1">'Fuel Production'!$A$1:$V$181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J7" i="3" l="1"/>
  <c r="J6" i="3"/>
  <c r="J177" i="3"/>
  <c r="J176" i="3"/>
  <c r="E8" i="7" l="1"/>
  <c r="D8" i="7" s="1"/>
  <c r="C111" i="4" l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4" i="2" l="1"/>
  <c r="F9" i="7"/>
  <c r="F10" i="7"/>
  <c r="F11" i="7"/>
  <c r="F12" i="7"/>
  <c r="F13" i="7"/>
  <c r="F14" i="7"/>
  <c r="N77" i="3"/>
  <c r="N76" i="3"/>
  <c r="N11" i="3"/>
  <c r="D33" i="11" l="1"/>
  <c r="D6" i="11"/>
  <c r="L170" i="4" l="1"/>
  <c r="M170" i="4"/>
  <c r="L172" i="4"/>
  <c r="M172" i="4" s="1"/>
  <c r="R166" i="4"/>
  <c r="R164" i="4"/>
  <c r="R165" i="4" s="1"/>
  <c r="H16" i="3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C169" i="4" l="1"/>
  <c r="C172" i="4"/>
  <c r="C173" i="4"/>
  <c r="C174" i="4"/>
  <c r="C171" i="4"/>
  <c r="C170" i="4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T11" i="11" s="1"/>
  <c r="R15" i="11" l="1"/>
  <c r="R17" i="11"/>
  <c r="R18" i="11"/>
  <c r="R14" i="11"/>
  <c r="R16" i="11"/>
  <c r="R13" i="11"/>
  <c r="Q13" i="11" s="1"/>
  <c r="P13" i="11" l="1"/>
  <c r="K7" i="11" l="1"/>
  <c r="C34" i="11" s="1"/>
  <c r="D34" i="11" s="1"/>
  <c r="J38" i="3"/>
  <c r="C76" i="8" l="1"/>
  <c r="O3" i="7" l="1"/>
  <c r="U147" i="3" l="1"/>
  <c r="U144" i="3"/>
  <c r="U112" i="3"/>
  <c r="U109" i="3"/>
  <c r="U12" i="3"/>
  <c r="N12" i="3"/>
  <c r="C159" i="4"/>
  <c r="C158" i="4"/>
  <c r="C9" i="2"/>
  <c r="C8" i="2"/>
  <c r="C7" i="2" l="1"/>
  <c r="C134" i="4"/>
  <c r="C109" i="4"/>
  <c r="C110" i="4" s="1"/>
  <c r="C60" i="4"/>
  <c r="C3" i="2" l="1"/>
  <c r="C2" i="2"/>
  <c r="D234" i="8"/>
  <c r="D228" i="8"/>
  <c r="D226" i="8"/>
  <c r="D227" i="8"/>
  <c r="D229" i="8"/>
  <c r="D230" i="8"/>
  <c r="D231" i="8"/>
  <c r="D232" i="8"/>
  <c r="D233" i="8"/>
  <c r="D225" i="8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U9" i="3" l="1"/>
  <c r="D30" i="11"/>
  <c r="D31" i="11"/>
  <c r="D32" i="11"/>
  <c r="D29" i="11"/>
  <c r="O166" i="4"/>
  <c r="C165" i="4" l="1"/>
  <c r="C166" i="4"/>
  <c r="C167" i="4"/>
  <c r="C163" i="4"/>
  <c r="C168" i="4"/>
  <c r="C164" i="4"/>
  <c r="C57" i="1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U179" i="3"/>
  <c r="U178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I6" i="11"/>
  <c r="F179" i="3"/>
  <c r="F178" i="3"/>
  <c r="D60" i="11" l="1"/>
  <c r="U175" i="3" l="1"/>
  <c r="J175" i="3"/>
  <c r="F7" i="3" l="1"/>
  <c r="F6" i="3"/>
  <c r="F177" i="3"/>
  <c r="F176" i="3"/>
  <c r="D83" i="11"/>
  <c r="U2" i="3" l="1"/>
  <c r="J2" i="3"/>
  <c r="U172" i="3" l="1"/>
  <c r="J172" i="3"/>
  <c r="U77" i="3" l="1"/>
  <c r="M7" i="11" l="1"/>
  <c r="Q14" i="11" l="1"/>
  <c r="I7" i="11"/>
  <c r="C7" i="11" l="1"/>
  <c r="D7" i="11" s="1"/>
  <c r="Q15" i="11"/>
  <c r="Q16" i="11" s="1"/>
  <c r="Q17" i="11" s="1"/>
  <c r="Q18" i="11" s="1"/>
  <c r="P14" i="11"/>
  <c r="C61" i="11"/>
  <c r="AI1" i="5"/>
  <c r="AJ1" i="5" s="1"/>
  <c r="AK1" i="5" s="1"/>
  <c r="AL1" i="5" s="1"/>
  <c r="AM1" i="5" s="1"/>
  <c r="AN1" i="5" s="1"/>
  <c r="AO1" i="5" s="1"/>
  <c r="C64" i="4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B64" i="4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B108" i="4" s="1"/>
  <c r="A64" i="4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108" i="4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80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D61" i="11" l="1"/>
  <c r="J16" i="3"/>
  <c r="K8" i="11"/>
  <c r="C35" i="11" s="1"/>
  <c r="M8" i="11"/>
  <c r="P15" i="11"/>
  <c r="I8" i="11"/>
  <c r="C8" i="11" s="1"/>
  <c r="D8" i="11" s="1"/>
  <c r="C106" i="4"/>
  <c r="C108" i="4" s="1"/>
  <c r="P16" i="11"/>
  <c r="M10" i="11" s="1"/>
  <c r="D35" i="11" l="1"/>
  <c r="C62" i="11"/>
  <c r="K9" i="11"/>
  <c r="C36" i="11" s="1"/>
  <c r="M9" i="11"/>
  <c r="I9" i="11"/>
  <c r="C9" i="11" s="1"/>
  <c r="D9" i="11" s="1"/>
  <c r="K10" i="11"/>
  <c r="I10" i="11"/>
  <c r="C10" i="11" s="1"/>
  <c r="D10" i="11" s="1"/>
  <c r="P17" i="11"/>
  <c r="M11" i="11" s="1"/>
  <c r="D62" i="11" l="1"/>
  <c r="J17" i="3"/>
  <c r="D36" i="11"/>
  <c r="C63" i="11"/>
  <c r="C37" i="11"/>
  <c r="I11" i="11"/>
  <c r="C11" i="11" s="1"/>
  <c r="D11" i="11" s="1"/>
  <c r="K11" i="11"/>
  <c r="Q19" i="11"/>
  <c r="P18" i="11"/>
  <c r="M12" i="11" s="1"/>
  <c r="D63" i="11" l="1"/>
  <c r="J18" i="3"/>
  <c r="D37" i="11"/>
  <c r="C64" i="11"/>
  <c r="C38" i="11"/>
  <c r="Q20" i="11"/>
  <c r="P19" i="11"/>
  <c r="M13" i="11" s="1"/>
  <c r="I12" i="11"/>
  <c r="C12" i="11" s="1"/>
  <c r="K12" i="11"/>
  <c r="D64" i="11" l="1"/>
  <c r="J19" i="3"/>
  <c r="D38" i="11"/>
  <c r="C65" i="11"/>
  <c r="D12" i="11"/>
  <c r="C39" i="11"/>
  <c r="K13" i="11"/>
  <c r="I13" i="11"/>
  <c r="C13" i="11" s="1"/>
  <c r="Q21" i="11"/>
  <c r="P20" i="11"/>
  <c r="M14" i="11" s="1"/>
  <c r="D65" i="11" l="1"/>
  <c r="J20" i="3"/>
  <c r="D39" i="11"/>
  <c r="C66" i="11"/>
  <c r="C40" i="11"/>
  <c r="D13" i="11"/>
  <c r="Q22" i="11"/>
  <c r="P21" i="11"/>
  <c r="M15" i="11" s="1"/>
  <c r="I14" i="11"/>
  <c r="C14" i="11" s="1"/>
  <c r="K14" i="11"/>
  <c r="D66" i="11" l="1"/>
  <c r="J21" i="3"/>
  <c r="D40" i="11"/>
  <c r="C67" i="11"/>
  <c r="C41" i="11"/>
  <c r="D14" i="11"/>
  <c r="I15" i="11"/>
  <c r="C15" i="11" s="1"/>
  <c r="K15" i="11"/>
  <c r="Q23" i="11"/>
  <c r="P22" i="11"/>
  <c r="M16" i="11" s="1"/>
  <c r="D67" i="11" l="1"/>
  <c r="J22" i="3"/>
  <c r="D41" i="11"/>
  <c r="C68" i="11"/>
  <c r="D15" i="11"/>
  <c r="C42" i="11"/>
  <c r="I16" i="11"/>
  <c r="C16" i="11" s="1"/>
  <c r="K16" i="11"/>
  <c r="Q24" i="11"/>
  <c r="P23" i="11"/>
  <c r="M17" i="11" s="1"/>
  <c r="D68" i="11" l="1"/>
  <c r="J23" i="3"/>
  <c r="D42" i="11"/>
  <c r="C69" i="11"/>
  <c r="D16" i="11"/>
  <c r="C43" i="11"/>
  <c r="Q25" i="11"/>
  <c r="P24" i="11"/>
  <c r="M18" i="11" s="1"/>
  <c r="K17" i="11"/>
  <c r="I17" i="11"/>
  <c r="C17" i="11" s="1"/>
  <c r="D69" i="11" l="1"/>
  <c r="J24" i="3"/>
  <c r="D43" i="11"/>
  <c r="C70" i="11"/>
  <c r="D17" i="11"/>
  <c r="C44" i="11"/>
  <c r="I18" i="11"/>
  <c r="C18" i="11" s="1"/>
  <c r="K18" i="11"/>
  <c r="Q26" i="11"/>
  <c r="P25" i="11"/>
  <c r="M19" i="11" s="1"/>
  <c r="D70" i="11" l="1"/>
  <c r="J25" i="3"/>
  <c r="D44" i="11"/>
  <c r="C71" i="11"/>
  <c r="C45" i="11"/>
  <c r="D18" i="11"/>
  <c r="K19" i="11"/>
  <c r="I19" i="11"/>
  <c r="C19" i="11" s="1"/>
  <c r="Q27" i="11"/>
  <c r="Q28" i="11" s="1"/>
  <c r="P28" i="11" s="1"/>
  <c r="M22" i="11" s="1"/>
  <c r="P26" i="11"/>
  <c r="M20" i="11" s="1"/>
  <c r="D71" i="11" l="1"/>
  <c r="J26" i="3"/>
  <c r="D45" i="11"/>
  <c r="C72" i="11"/>
  <c r="C46" i="11"/>
  <c r="D19" i="11"/>
  <c r="P27" i="11"/>
  <c r="M21" i="11" s="1"/>
  <c r="K20" i="11"/>
  <c r="I20" i="11"/>
  <c r="C20" i="11" s="1"/>
  <c r="D72" i="11" l="1"/>
  <c r="J27" i="3"/>
  <c r="D46" i="11"/>
  <c r="C73" i="11"/>
  <c r="D20" i="11"/>
  <c r="C47" i="11"/>
  <c r="K21" i="11"/>
  <c r="I21" i="11"/>
  <c r="C21" i="11" s="1"/>
  <c r="Q29" i="11"/>
  <c r="D73" i="11" l="1"/>
  <c r="J28" i="3"/>
  <c r="D47" i="11"/>
  <c r="C74" i="11"/>
  <c r="D21" i="11"/>
  <c r="C48" i="11"/>
  <c r="P29" i="11"/>
  <c r="M23" i="11" s="1"/>
  <c r="Q30" i="11"/>
  <c r="K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M24" i="11" s="1"/>
  <c r="K23" i="11"/>
  <c r="I23" i="11"/>
  <c r="C23" i="11" s="1"/>
  <c r="D75" i="11" l="1"/>
  <c r="J30" i="3"/>
  <c r="D23" i="11"/>
  <c r="D49" i="11"/>
  <c r="C76" i="11"/>
  <c r="P33" i="11"/>
  <c r="M27" i="11" s="1"/>
  <c r="Q34" i="11"/>
  <c r="P34" i="11" s="1"/>
  <c r="C50" i="11"/>
  <c r="I24" i="11"/>
  <c r="C24" i="11" s="1"/>
  <c r="K24" i="11"/>
  <c r="P31" i="11"/>
  <c r="M25" i="11" s="1"/>
  <c r="E2" i="7" l="1"/>
  <c r="D2" i="7" s="1"/>
  <c r="E9" i="7"/>
  <c r="D9" i="7" s="1"/>
  <c r="D24" i="11"/>
  <c r="D76" i="11"/>
  <c r="J31" i="3"/>
  <c r="D50" i="11"/>
  <c r="C77" i="11"/>
  <c r="M28" i="11"/>
  <c r="I28" i="11"/>
  <c r="C28" i="11" s="1"/>
  <c r="K28" i="11"/>
  <c r="C55" i="11" s="1"/>
  <c r="C51" i="11"/>
  <c r="P32" i="11"/>
  <c r="M26" i="11" s="1"/>
  <c r="K25" i="11"/>
  <c r="I25" i="11"/>
  <c r="C25" i="11" s="1"/>
  <c r="E10" i="7" l="1"/>
  <c r="D10" i="7" s="1"/>
  <c r="E3" i="7"/>
  <c r="D3" i="7" s="1"/>
  <c r="E7" i="7"/>
  <c r="D7" i="7" s="1"/>
  <c r="E14" i="7"/>
  <c r="D14" i="7" s="1"/>
  <c r="D77" i="11"/>
  <c r="J32" i="3"/>
  <c r="D25" i="11"/>
  <c r="D28" i="11"/>
  <c r="D51" i="11"/>
  <c r="C78" i="11"/>
  <c r="D55" i="11"/>
  <c r="C82" i="11"/>
  <c r="C52" i="11"/>
  <c r="K27" i="11"/>
  <c r="I27" i="11"/>
  <c r="I26" i="11"/>
  <c r="C26" i="11" s="1"/>
  <c r="K26" i="11"/>
  <c r="E4" i="7" l="1"/>
  <c r="D4" i="7" s="1"/>
  <c r="E11" i="7"/>
  <c r="D11" i="7" s="1"/>
  <c r="D26" i="11"/>
  <c r="D82" i="11"/>
  <c r="J37" i="3"/>
  <c r="D78" i="11"/>
  <c r="J33" i="3"/>
  <c r="D52" i="11"/>
  <c r="C79" i="11"/>
  <c r="C53" i="11"/>
  <c r="C27" i="11"/>
  <c r="C54" i="11"/>
  <c r="E6" i="7" l="1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  <c r="J5" i="7"/>
  <c r="J6" i="7" s="1"/>
</calcChain>
</file>

<file path=xl/sharedStrings.xml><?xml version="1.0" encoding="utf-8"?>
<sst xmlns="http://schemas.openxmlformats.org/spreadsheetml/2006/main" count="3582" uniqueCount="267">
  <si>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</si>
  <si>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</si>
  <si>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</si>
  <si>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</si>
  <si>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</si>
  <si>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</si>
  <si>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</si>
  <si>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</si>
  <si>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</si>
  <si>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</si>
  <si>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</si>
  <si>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</si>
  <si>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</si>
  <si>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</si>
  <si>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</si>
  <si>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</si>
  <si>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</si>
  <si>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</si>
  <si>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</si>
  <si>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</si>
  <si>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</t>
  </si>
  <si>
    <t>projected 2023 volume</t>
  </si>
  <si>
    <t>estimated 2024 vol</t>
  </si>
  <si>
    <t>CNG from Dairies</t>
  </si>
  <si>
    <t>Ethanol Used for E85</t>
  </si>
  <si>
    <t>Alt Jet - Virgin</t>
  </si>
  <si>
    <t>Alt Jet - Waste</t>
  </si>
  <si>
    <t>SP Alignment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</si>
  <si>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</si>
  <si>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</si>
  <si>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</si>
  <si>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</si>
  <si>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</si>
  <si>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</si>
  <si>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</si>
  <si>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</si>
  <si>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</si>
  <si>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</si>
  <si>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</si>
  <si>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</si>
  <si>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</si>
  <si>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</si>
  <si>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</si>
  <si>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</si>
  <si>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</si>
  <si>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</si>
  <si>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</si>
  <si>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</si>
  <si>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</si>
  <si>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</si>
  <si>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</si>
  <si>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</si>
  <si>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</si>
  <si>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</si>
  <si>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</si>
  <si>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</si>
  <si>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</si>
  <si>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</si>
  <si>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</si>
  <si>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</si>
  <si>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</si>
  <si>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</si>
  <si>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</si>
  <si>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</si>
  <si>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</si>
  <si>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</si>
  <si>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</si>
  <si>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</si>
  <si>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</si>
  <si>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</si>
  <si>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</si>
  <si>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</si>
  <si>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</si>
  <si>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</si>
  <si>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</si>
  <si>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</si>
  <si>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</si>
  <si>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</si>
  <si>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</si>
  <si>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</si>
  <si>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</si>
  <si>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</si>
  <si>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</si>
  <si>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</si>
  <si>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</si>
  <si>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</si>
  <si>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</si>
  <si>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</si>
  <si>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</si>
  <si>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</si>
  <si>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</si>
  <si>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</si>
  <si>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</si>
  <si>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</si>
  <si>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</si>
  <si>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</si>
  <si>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</si>
  <si>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</si>
  <si>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</si>
  <si>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</si>
  <si>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</si>
  <si>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</si>
  <si>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</si>
  <si>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</si>
  <si>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</si>
  <si>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</si>
  <si>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</si>
  <si>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</si>
  <si>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</si>
  <si>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</si>
  <si>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</si>
  <si>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</si>
  <si>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</si>
  <si>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</si>
  <si>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</si>
  <si>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</si>
  <si>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</si>
  <si>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</si>
  <si>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</si>
  <si>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</si>
  <si>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</si>
  <si>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</si>
  <si>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</si>
  <si>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</si>
  <si>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</si>
  <si>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</si>
  <si>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</si>
  <si>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</si>
  <si>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</si>
  <si>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</si>
  <si>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</si>
  <si>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</si>
  <si>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</si>
  <si>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</si>
  <si>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</si>
  <si>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</si>
  <si>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</si>
  <si>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</si>
  <si>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HDV Hydrogen (Dairy Gas)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</si>
  <si>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</si>
  <si>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</si>
  <si>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</si>
  <si>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</si>
  <si>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</si>
  <si>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</si>
  <si>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HDV-e (Dairy Gas)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</si>
  <si>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</si>
  <si>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</si>
  <si>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</si>
  <si>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</si>
  <si>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</si>
  <si>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</si>
  <si>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</si>
  <si>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</si>
  <si>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</si>
  <si>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</si>
  <si>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</si>
  <si>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</si>
  <si>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</si>
  <si>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</si>
  <si>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</si>
  <si>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LDV Hydrogen (Dairy Gas)</t>
  </si>
  <si>
    <t>Hydrogen for LDV (Dairy)</t>
  </si>
  <si>
    <t>LDV-e (0-CI)</t>
  </si>
  <si>
    <t>Electricity for LDV</t>
  </si>
  <si>
    <t>LDV-e (Dairy Gas)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</si>
  <si>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</si>
  <si>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</si>
  <si>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</si>
  <si>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</si>
  <si>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</si>
  <si>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</si>
  <si>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</si>
  <si>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Converts from MJ to MM GGE</t>
  </si>
  <si>
    <t>Renewable Gasoline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</si>
  <si>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</si>
  <si>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</si>
  <si>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</si>
  <si>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</si>
  <si>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</si>
  <si>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</si>
  <si>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to reflect current market expectations</t>
  </si>
  <si>
    <t>CNG from Dairy limit</t>
  </si>
  <si>
    <t>Highest Production pre-2033</t>
  </si>
  <si>
    <t>2027 Values</t>
  </si>
  <si>
    <t>Conversion to MJ</t>
  </si>
  <si>
    <t>DGE</t>
  </si>
  <si>
    <t>DGE MM</t>
  </si>
  <si>
    <t>MJ/DGE</t>
  </si>
  <si>
    <t>MJ</t>
  </si>
  <si>
    <t>40% of pre-2041 to account for direct delivery requirement</t>
  </si>
  <si>
    <t>Landfill CNG limit</t>
  </si>
  <si>
    <t>highest pre 2041</t>
  </si>
  <si>
    <t>Conversion</t>
  </si>
  <si>
    <t>Delta 2041-2032</t>
  </si>
  <si>
    <t>Base Fuel</t>
  </si>
  <si>
    <t>Production Multiplier</t>
  </si>
  <si>
    <t>Exceed</t>
  </si>
  <si>
    <t>Min 0.5 MJ of Alt Jet produced per 100 MJ of RD</t>
  </si>
  <si>
    <t>1 MJ of Rewewable Gasoline per 100 MJ of RD.  Consistent w. what CA has been receiving</t>
  </si>
  <si>
    <t>Minimum</t>
  </si>
  <si>
    <t>Maximum</t>
  </si>
  <si>
    <t>Calculated</t>
  </si>
  <si>
    <t>Credit Limits</t>
  </si>
  <si>
    <t>Limit</t>
  </si>
  <si>
    <t>MM gallons</t>
  </si>
  <si>
    <t>(max pre-2033) value from model results</t>
  </si>
  <si>
    <t>RD</t>
  </si>
  <si>
    <t>MJ/gallon</t>
  </si>
  <si>
    <t>Dairy Electric Assumed CI</t>
  </si>
  <si>
    <t>Assumed CI</t>
  </si>
  <si>
    <t>Dairy Electric</t>
  </si>
  <si>
    <t>MJ/kWh</t>
  </si>
  <si>
    <t>2025 CI</t>
  </si>
  <si>
    <t>Credit Limit Baseline</t>
  </si>
  <si>
    <t>credits</t>
  </si>
  <si>
    <t>Dairy Hydrogen Assumed CI</t>
  </si>
  <si>
    <t>Dairy Hydrogen</t>
  </si>
  <si>
    <t>MJ/kg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</si>
  <si>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</si>
  <si>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</si>
  <si>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</si>
  <si>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</si>
  <si>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</si>
  <si>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</si>
  <si>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</si>
  <si>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</si>
  <si>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</si>
  <si>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</si>
  <si>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</si>
  <si>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</si>
  <si>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</si>
  <si>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</si>
  <si>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</si>
  <si>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</si>
  <si>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</si>
  <si>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</si>
  <si>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Input</t>
  </si>
  <si>
    <t>Total %</t>
  </si>
  <si>
    <t>Add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</si>
  <si>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</si>
  <si>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</si>
  <si>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</si>
  <si>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</si>
  <si>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</si>
  <si>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</si>
  <si>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</si>
  <si>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</si>
  <si>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</si>
  <si>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</si>
  <si>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</si>
  <si>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</si>
  <si>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</si>
  <si>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</si>
  <si>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</si>
  <si>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</si>
  <si>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</si>
  <si>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</si>
  <si>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</si>
  <si>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</si>
  <si>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</t>
  </si>
  <si>
    <t xml:space="preserve">Growth using Linear regression of 2019-2021 </t>
  </si>
  <si>
    <t xml:space="preserve">Replaced with dynamic values (eCHE, eOGV, eTRU 2021) </t>
  </si>
  <si>
    <t>OGV Reg Growth Factor for Container/Reefer</t>
  </si>
  <si>
    <t>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</si>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</sst>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0" fontId="0" fillId="2" borderId="1" xfId="0" applyFill="1" applyBorder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3" borderId="1" xfId="0" applyFont="1" applyFill="1" applyBorder="1"/>
    <xf numFmtId="2" fontId="0" fillId="0" borderId="0" xfId="0" applyNumberFormat="1"/>
    <xf numFmtId="2" fontId="0" fillId="4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43" fontId="0" fillId="0" borderId="0" xfId="3" applyFont="1"/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0" fontId="1" fillId="0" borderId="3" xfId="0" applyFont="1" applyBorder="1" applyAlignment="1">
      <alignment horizontal="center" vertical="top"/>
    </xf>
    <xf numFmtId="167" fontId="0" fillId="0" borderId="0" xfId="3" applyNumberFormat="1" applyFont="1" applyFill="1" applyBorder="1"/>
    <xf numFmtId="0" fontId="0" fillId="0" borderId="0" xfId="0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0" fontId="0" fillId="0" borderId="0" xfId="0" applyBorder="1"/>
    <xf numFmtId="44" fontId="0" fillId="0" borderId="0" xfId="1" applyFont="1" applyFill="1" applyBorder="1"/>
    <xf numFmtId="2" fontId="0" fillId="0" borderId="0" xfId="0" applyNumberFormat="1" applyBorder="1"/>
    <xf numFmtId="164" fontId="0" fillId="0" borderId="0" xfId="1" applyNumberFormat="1" applyFont="1" applyFill="1" applyBorder="1"/>
    <xf numFmtId="171" fontId="7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8" fontId="7" fillId="0" borderId="0" xfId="0" applyNumberFormat="1" applyFont="1" applyBorder="1"/>
    <xf numFmtId="0" fontId="7" fillId="0" borderId="0" xfId="0" applyFont="1" applyBorder="1"/>
    <xf numFmtId="0" fontId="0" fillId="0" borderId="0" xfId="0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14</xdr:row>
      <xdr:rowOff>171450</xdr:rowOff>
    </xdr:from>
    <xdr:to>
      <xdr:col>17</xdr:col>
      <xdr:colOff>485601</xdr:colOff>
      <xdr:row>18</xdr:row>
      <xdr:rowOff>21734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𝐷𝑒𝑓𝑖𝑐𝑖𝑡𝐿𝑖𝑚𝑖𝑡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𝑥𝑥</m:t>
                        </m:r>
                      </m:sub>
                    </m:sSub>
                    <m:r>
                      <a:rPr lang="en-US" sz="140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𝐿𝑖𝑚𝑖𝑡</m:t>
                        </m:r>
                      </m:e>
                      <m:sub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𝐵𝑎𝑠𝑒𝑙𝑖𝑛𝑒</m:t>
                        </m:r>
                      </m:sub>
                    </m:sSub>
                    <m:f>
                      <m:f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𝑆𝑡𝑑</m:t>
                                </m:r>
                                <m:r>
                                  <a:rPr lang="en-US" sz="1400" i="0">
                                    <a:latin typeface="Cambria Math" panose="02040503050406030204" pitchFamily="18" charset="0"/>
                                  </a:rPr>
                                  <m:t>,20</m:t>
                                </m:r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𝑥𝑥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𝐵𝑎𝑠𝑙𝑖𝑛𝑒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𝐶𝑟𝑒𝑑𝑖𝑡/𝐷𝑒𝑓𝑖𝑐𝑖𝑡𝐿𝑖𝑚𝑖𝑡</a:t>
              </a:r>
              <a:r>
                <a:rPr lang="en-US" sz="1400" i="0"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20𝑥𝑥=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𝐶𝑟𝑒𝑑𝑖𝑡 𝐿𝑖𝑚𝑖𝑡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𝐵𝑎𝑠𝑒𝑙𝑖𝑛𝑒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 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latin typeface="Cambria Math" panose="02040503050406030204" pitchFamily="18" charset="0"/>
                </a:rPr>
                <a:t>𝑆𝑡𝑑,20𝑥𝑥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n-US" sz="1400" i="0">
                  <a:latin typeface="Cambria Math" panose="02040503050406030204" pitchFamily="18" charset="0"/>
                </a:rPr>
                <a:t>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𝐵𝑎𝑠𝑙𝑖𝑛𝑒^𝑋𝐷−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n-US" sz="140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rb.sharepoint.com/sites/ISD/TFB/202X%20LCFS%20Rulemaking/Target%20Setting/Preliminary%20Illustrative%20Scenarios/Proposed%20Scenario/scenarios/ISOR_Proposed_35percent_updatedDemand/scenario_inputs_ISOR_35pct.xlsx" TargetMode="External"/><Relationship Id="rId1" Type="http://schemas.openxmlformats.org/officeDocument/2006/relationships/externalLinkPath" Target="/sites/ISD/TFB/202X%20LCFS%20Rulemaking/Target%20Setting/Preliminary%20Illustrative%20Scenarios/Proposed%20Scenario/scenarios/ISOR_Proposed_35percent_updatedDemand/scenario_inputs_ISOR_35pc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1" Type="http://schemas.openxmlformats.org/officeDocument/2006/relationships/externalLinkPath" Target="/sites/ISD/TFB/202X%20LCFS%20Rulemaking/Modeling/Target%20Setting/Proposed%20Scenario/scenarios/15Day_Proposed_7step_30/15Day_Proposed_30percent/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gy Demand"/>
      <sheetName val="Defined Supply"/>
      <sheetName val="Fuel Production"/>
      <sheetName val="Production Limits"/>
      <sheetName val="Coproducts"/>
      <sheetName val="LCFS Benchmark"/>
      <sheetName val="Feedstock"/>
      <sheetName val="Credit Type Limits"/>
      <sheetName val="Blend Requirements"/>
      <sheetName val="Additional Cred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C34">
            <v>86.070906666666659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85" zoomScaleNormal="85" workbookViewId="0">
      <selection activeCell="G10" sqref="G10"/>
    </sheetView>
  </sheetViews>
  <sheetFormatPr defaultRowHeight="14.45"/>
  <cols>
    <col min="2" max="2" width="17.42578125" bestFit="1" customWidth="1"/>
    <col min="3" max="3" width="18.140625" bestFit="1" customWidth="1"/>
    <col min="4" max="4" width="12.85546875" customWidth="1"/>
    <col min="5" max="5" width="9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1" t="s">
        <v>0</v>
      </c>
      <c r="B1" s="21" t="s">
        <v>1</v>
      </c>
      <c r="C1" s="21" t="s">
        <v>2</v>
      </c>
      <c r="D1" s="21" t="s">
        <v>3</v>
      </c>
      <c r="E1" s="22"/>
      <c r="H1" s="9"/>
      <c r="I1" s="9"/>
      <c r="J1" s="9"/>
    </row>
    <row r="2" spans="1:17">
      <c r="A2">
        <v>2022</v>
      </c>
      <c r="B2" t="s">
        <v>4</v>
      </c>
      <c r="C2" s="26">
        <v>1602734357158.2358</v>
      </c>
      <c r="D2" t="b">
        <v>0</v>
      </c>
      <c r="E2" t="s">
        <v>5</v>
      </c>
      <c r="I2" s="15"/>
      <c r="J2" s="15"/>
      <c r="Q2" s="26"/>
    </row>
    <row r="3" spans="1:17">
      <c r="A3">
        <v>2023</v>
      </c>
      <c r="B3" t="s">
        <v>4</v>
      </c>
      <c r="C3" s="26">
        <v>1565794687595.4189</v>
      </c>
      <c r="D3" t="b">
        <v>0</v>
      </c>
      <c r="E3" t="s">
        <v>6</v>
      </c>
      <c r="I3" s="15"/>
      <c r="J3" s="19"/>
      <c r="Q3" s="26"/>
    </row>
    <row r="4" spans="1:17">
      <c r="A4">
        <v>2024</v>
      </c>
      <c r="B4" t="s">
        <v>4</v>
      </c>
      <c r="C4" s="26">
        <v>1510937362885.9907</v>
      </c>
      <c r="D4" t="b">
        <v>0</v>
      </c>
      <c r="I4" s="15"/>
      <c r="J4" s="19"/>
      <c r="Q4" s="26"/>
    </row>
    <row r="5" spans="1:17">
      <c r="A5">
        <v>2025</v>
      </c>
      <c r="B5" t="s">
        <v>4</v>
      </c>
      <c r="C5" s="26">
        <v>1466273241994.3306</v>
      </c>
      <c r="D5" t="b">
        <v>0</v>
      </c>
      <c r="I5" s="15"/>
      <c r="J5" s="19"/>
      <c r="O5" s="12"/>
      <c r="Q5" s="26"/>
    </row>
    <row r="6" spans="1:17">
      <c r="A6">
        <v>2026</v>
      </c>
      <c r="B6" t="s">
        <v>4</v>
      </c>
      <c r="C6" s="26">
        <v>1420043841864.3113</v>
      </c>
      <c r="D6" t="b">
        <v>0</v>
      </c>
      <c r="I6" s="15"/>
      <c r="J6" s="19"/>
      <c r="Q6" s="26"/>
    </row>
    <row r="7" spans="1:17">
      <c r="A7">
        <v>2027</v>
      </c>
      <c r="B7" t="s">
        <v>4</v>
      </c>
      <c r="C7" s="26">
        <v>1365166285804.6077</v>
      </c>
      <c r="D7" t="b">
        <v>0</v>
      </c>
      <c r="I7" s="15"/>
      <c r="J7" s="19"/>
      <c r="Q7" s="26"/>
    </row>
    <row r="8" spans="1:17">
      <c r="A8">
        <v>2028</v>
      </c>
      <c r="B8" t="s">
        <v>4</v>
      </c>
      <c r="C8" s="26">
        <v>1307821647447.2544</v>
      </c>
      <c r="D8" t="b">
        <v>0</v>
      </c>
      <c r="I8" s="15"/>
      <c r="J8" s="19"/>
      <c r="Q8" s="26"/>
    </row>
    <row r="9" spans="1:17">
      <c r="A9">
        <v>2029</v>
      </c>
      <c r="B9" t="s">
        <v>4</v>
      </c>
      <c r="C9" s="26">
        <v>1248113568144.8176</v>
      </c>
      <c r="D9" t="b">
        <v>0</v>
      </c>
      <c r="I9" s="15"/>
      <c r="J9" s="19"/>
      <c r="Q9" s="26"/>
    </row>
    <row r="10" spans="1:17">
      <c r="A10">
        <v>2030</v>
      </c>
      <c r="B10" t="s">
        <v>4</v>
      </c>
      <c r="C10" s="26">
        <v>1185650065586.4583</v>
      </c>
      <c r="D10" t="b">
        <v>0</v>
      </c>
      <c r="I10" s="15"/>
      <c r="J10" s="19"/>
      <c r="Q10" s="26"/>
    </row>
    <row r="11" spans="1:17">
      <c r="A11">
        <v>2031</v>
      </c>
      <c r="B11" t="s">
        <v>4</v>
      </c>
      <c r="C11" s="26">
        <v>1120301504204.1768</v>
      </c>
      <c r="D11" t="b">
        <v>0</v>
      </c>
      <c r="I11" s="15"/>
      <c r="J11" s="19"/>
      <c r="Q11" s="26"/>
    </row>
    <row r="12" spans="1:17">
      <c r="A12">
        <v>2032</v>
      </c>
      <c r="B12" t="s">
        <v>4</v>
      </c>
      <c r="C12" s="26">
        <v>1052119484631.2821</v>
      </c>
      <c r="D12" t="b">
        <v>0</v>
      </c>
      <c r="I12" s="15"/>
      <c r="J12" s="19"/>
      <c r="Q12" s="26"/>
    </row>
    <row r="13" spans="1:17">
      <c r="A13">
        <v>2033</v>
      </c>
      <c r="B13" t="s">
        <v>4</v>
      </c>
      <c r="C13" s="26">
        <v>980137301903.05359</v>
      </c>
      <c r="D13" t="b">
        <v>0</v>
      </c>
      <c r="I13" s="15"/>
      <c r="J13" s="19"/>
      <c r="M13" s="13"/>
      <c r="Q13" s="26"/>
    </row>
    <row r="14" spans="1:17">
      <c r="A14">
        <v>2034</v>
      </c>
      <c r="B14" t="s">
        <v>4</v>
      </c>
      <c r="C14" s="26">
        <v>906124050329.97375</v>
      </c>
      <c r="D14" t="b">
        <v>0</v>
      </c>
      <c r="I14" s="15"/>
      <c r="J14" s="19"/>
      <c r="Q14" s="26"/>
    </row>
    <row r="15" spans="1:17">
      <c r="A15">
        <v>2035</v>
      </c>
      <c r="B15" t="s">
        <v>4</v>
      </c>
      <c r="C15" s="26">
        <v>830957856177.47974</v>
      </c>
      <c r="D15" t="b">
        <v>0</v>
      </c>
      <c r="I15" s="15"/>
      <c r="J15" s="19"/>
      <c r="Q15" s="26"/>
    </row>
    <row r="16" spans="1:17">
      <c r="A16">
        <v>2036</v>
      </c>
      <c r="B16" t="s">
        <v>4</v>
      </c>
      <c r="C16" s="26">
        <v>757988106815.43103</v>
      </c>
      <c r="D16" t="b">
        <v>0</v>
      </c>
      <c r="I16" s="15"/>
      <c r="J16" s="19"/>
      <c r="Q16" s="26"/>
    </row>
    <row r="17" spans="1:17">
      <c r="A17">
        <v>2037</v>
      </c>
      <c r="B17" t="s">
        <v>4</v>
      </c>
      <c r="C17" s="26">
        <v>687752103632.63489</v>
      </c>
      <c r="D17" t="b">
        <v>0</v>
      </c>
      <c r="I17" s="15"/>
      <c r="J17" s="19"/>
      <c r="Q17" s="26"/>
    </row>
    <row r="18" spans="1:17">
      <c r="A18">
        <v>2038</v>
      </c>
      <c r="B18" t="s">
        <v>4</v>
      </c>
      <c r="C18" s="26">
        <v>620902087755.83618</v>
      </c>
      <c r="D18" t="b">
        <v>0</v>
      </c>
      <c r="I18" s="15"/>
      <c r="J18" s="19"/>
      <c r="Q18" s="26"/>
    </row>
    <row r="19" spans="1:17">
      <c r="A19">
        <v>2039</v>
      </c>
      <c r="B19" t="s">
        <v>4</v>
      </c>
      <c r="C19" s="26">
        <v>557844879652.46448</v>
      </c>
      <c r="D19" t="b">
        <v>0</v>
      </c>
      <c r="I19" s="15"/>
      <c r="J19" s="19"/>
      <c r="Q19" s="26"/>
    </row>
    <row r="20" spans="1:17">
      <c r="A20">
        <v>2040</v>
      </c>
      <c r="B20" t="s">
        <v>4</v>
      </c>
      <c r="C20" s="26">
        <v>498445696087.15668</v>
      </c>
      <c r="D20" t="b">
        <v>0</v>
      </c>
      <c r="I20" s="15"/>
      <c r="J20" s="19"/>
      <c r="Q20" s="26"/>
    </row>
    <row r="21" spans="1:17">
      <c r="A21">
        <v>2041</v>
      </c>
      <c r="B21" t="s">
        <v>4</v>
      </c>
      <c r="C21" s="26">
        <v>442830875788.38666</v>
      </c>
      <c r="D21" t="b">
        <v>0</v>
      </c>
      <c r="I21" s="15"/>
      <c r="J21" s="19"/>
      <c r="Q21" s="26"/>
    </row>
    <row r="22" spans="1:17">
      <c r="A22">
        <v>2042</v>
      </c>
      <c r="B22" t="s">
        <v>4</v>
      </c>
      <c r="C22" s="26">
        <v>391164932678.63062</v>
      </c>
      <c r="D22" t="b">
        <v>0</v>
      </c>
      <c r="I22" s="15"/>
      <c r="J22" s="19"/>
      <c r="Q22" s="26"/>
    </row>
    <row r="23" spans="1:17">
      <c r="A23">
        <v>2043</v>
      </c>
      <c r="B23" t="s">
        <v>4</v>
      </c>
      <c r="C23" s="26">
        <v>343568889550.10669</v>
      </c>
      <c r="D23" t="b">
        <v>0</v>
      </c>
      <c r="I23" s="15"/>
      <c r="J23" s="19"/>
      <c r="Q23" s="26"/>
    </row>
    <row r="24" spans="1:17">
      <c r="A24">
        <v>2044</v>
      </c>
      <c r="B24" t="s">
        <v>4</v>
      </c>
      <c r="C24" s="26">
        <v>299777349225.07104</v>
      </c>
      <c r="D24" t="b">
        <v>0</v>
      </c>
      <c r="I24" s="15"/>
      <c r="J24" s="19"/>
      <c r="Q24" s="26"/>
    </row>
    <row r="25" spans="1:17">
      <c r="A25">
        <v>2045</v>
      </c>
      <c r="B25" t="s">
        <v>4</v>
      </c>
      <c r="C25" s="26">
        <v>259860921488.4122</v>
      </c>
      <c r="D25" t="b">
        <v>0</v>
      </c>
      <c r="I25" s="15"/>
      <c r="J25" s="19"/>
      <c r="Q25" s="26"/>
    </row>
    <row r="26" spans="1:17">
      <c r="A26">
        <v>2046</v>
      </c>
      <c r="B26" t="s">
        <v>4</v>
      </c>
      <c r="C26" s="26">
        <v>226663954642.60229</v>
      </c>
      <c r="D26" t="b">
        <v>0</v>
      </c>
      <c r="Q26" s="26"/>
    </row>
    <row r="27" spans="1:17">
      <c r="A27">
        <v>2022</v>
      </c>
      <c r="B27" t="s">
        <v>7</v>
      </c>
      <c r="C27" s="26">
        <v>489533516898.01459</v>
      </c>
      <c r="D27" t="b">
        <v>0</v>
      </c>
      <c r="E27" t="s">
        <v>6</v>
      </c>
      <c r="F27" s="26"/>
      <c r="G27" s="26"/>
      <c r="Q27" s="26"/>
    </row>
    <row r="28" spans="1:17">
      <c r="A28">
        <v>2023</v>
      </c>
      <c r="B28" t="s">
        <v>7</v>
      </c>
      <c r="C28" s="26">
        <v>492487905362.60278</v>
      </c>
      <c r="D28" t="b">
        <v>0</v>
      </c>
      <c r="F28" s="26"/>
      <c r="G28" s="26"/>
      <c r="Q28" s="26"/>
    </row>
    <row r="29" spans="1:17">
      <c r="A29">
        <v>2024</v>
      </c>
      <c r="B29" t="s">
        <v>7</v>
      </c>
      <c r="C29" s="26">
        <v>476369115569.59106</v>
      </c>
      <c r="D29" t="b">
        <v>0</v>
      </c>
      <c r="F29" s="26"/>
      <c r="G29" s="26"/>
      <c r="Q29" s="26"/>
    </row>
    <row r="30" spans="1:17">
      <c r="A30">
        <v>2025</v>
      </c>
      <c r="B30" t="s">
        <v>7</v>
      </c>
      <c r="C30" s="26">
        <v>474495203201.00299</v>
      </c>
      <c r="D30" t="b">
        <v>0</v>
      </c>
      <c r="F30" s="26"/>
      <c r="G30" s="26"/>
      <c r="Q30" s="26"/>
    </row>
    <row r="31" spans="1:17">
      <c r="A31">
        <v>2026</v>
      </c>
      <c r="B31" t="s">
        <v>7</v>
      </c>
      <c r="C31" s="26">
        <v>470955884746.59119</v>
      </c>
      <c r="D31" t="b">
        <v>0</v>
      </c>
      <c r="F31" s="26"/>
      <c r="G31" s="26"/>
      <c r="Q31" s="26"/>
    </row>
    <row r="32" spans="1:17">
      <c r="A32">
        <v>2027</v>
      </c>
      <c r="B32" t="s">
        <v>7</v>
      </c>
      <c r="C32" s="26">
        <v>464208198178.05737</v>
      </c>
      <c r="D32" t="b">
        <v>0</v>
      </c>
      <c r="F32" s="26"/>
      <c r="G32" s="26"/>
      <c r="Q32" s="26"/>
    </row>
    <row r="33" spans="1:17">
      <c r="A33">
        <v>2028</v>
      </c>
      <c r="B33" t="s">
        <v>7</v>
      </c>
      <c r="C33" s="26">
        <v>457463586098.05017</v>
      </c>
      <c r="D33" t="b">
        <v>0</v>
      </c>
      <c r="F33" s="26"/>
      <c r="G33" s="26"/>
      <c r="Q33" s="26"/>
    </row>
    <row r="34" spans="1:17">
      <c r="A34">
        <v>2029</v>
      </c>
      <c r="B34" t="s">
        <v>7</v>
      </c>
      <c r="C34" s="26">
        <v>448228864037.45227</v>
      </c>
      <c r="D34" t="b">
        <v>0</v>
      </c>
      <c r="F34" s="26"/>
      <c r="G34" s="26"/>
      <c r="Q34" s="26"/>
    </row>
    <row r="35" spans="1:17">
      <c r="A35">
        <v>2030</v>
      </c>
      <c r="B35" t="s">
        <v>7</v>
      </c>
      <c r="C35" s="26">
        <v>436837176791.58679</v>
      </c>
      <c r="D35" t="b">
        <v>0</v>
      </c>
      <c r="F35" s="26"/>
      <c r="G35" s="26"/>
      <c r="Q35" s="26"/>
    </row>
    <row r="36" spans="1:17">
      <c r="A36">
        <v>2031</v>
      </c>
      <c r="B36" t="s">
        <v>7</v>
      </c>
      <c r="C36" s="26">
        <v>426573517977.33655</v>
      </c>
      <c r="D36" t="b">
        <v>0</v>
      </c>
      <c r="F36" s="26"/>
      <c r="G36" s="26"/>
    </row>
    <row r="37" spans="1:17">
      <c r="A37">
        <v>2032</v>
      </c>
      <c r="B37" t="s">
        <v>7</v>
      </c>
      <c r="C37" s="26">
        <v>417197227090.6778</v>
      </c>
      <c r="D37" t="b">
        <v>0</v>
      </c>
      <c r="F37" s="26"/>
      <c r="G37" s="26"/>
    </row>
    <row r="38" spans="1:17">
      <c r="A38">
        <v>2033</v>
      </c>
      <c r="B38" t="s">
        <v>7</v>
      </c>
      <c r="C38" s="26">
        <v>409599571430.43018</v>
      </c>
      <c r="D38" t="b">
        <v>0</v>
      </c>
      <c r="F38" s="26"/>
      <c r="G38" s="26"/>
    </row>
    <row r="39" spans="1:17">
      <c r="A39">
        <v>2034</v>
      </c>
      <c r="B39" t="s">
        <v>7</v>
      </c>
      <c r="C39" s="26">
        <v>399349959696.2467</v>
      </c>
      <c r="D39" t="b">
        <v>0</v>
      </c>
      <c r="F39" s="26"/>
      <c r="G39" s="26"/>
    </row>
    <row r="40" spans="1:17">
      <c r="A40">
        <v>2035</v>
      </c>
      <c r="B40" t="s">
        <v>7</v>
      </c>
      <c r="C40" s="26">
        <v>387967700276.25037</v>
      </c>
      <c r="D40" t="b">
        <v>0</v>
      </c>
      <c r="F40" s="26"/>
      <c r="G40" s="26"/>
    </row>
    <row r="41" spans="1:17">
      <c r="A41">
        <v>2036</v>
      </c>
      <c r="B41" t="s">
        <v>7</v>
      </c>
      <c r="C41" s="26">
        <v>377765068218.19678</v>
      </c>
      <c r="D41" t="b">
        <v>0</v>
      </c>
      <c r="F41" s="26"/>
      <c r="G41" s="26"/>
    </row>
    <row r="42" spans="1:17">
      <c r="A42">
        <v>2037</v>
      </c>
      <c r="B42" t="s">
        <v>7</v>
      </c>
      <c r="C42" s="26">
        <v>367392915635.34253</v>
      </c>
      <c r="D42" t="b">
        <v>0</v>
      </c>
      <c r="F42" s="26"/>
      <c r="G42" s="26"/>
    </row>
    <row r="43" spans="1:17">
      <c r="A43">
        <v>2038</v>
      </c>
      <c r="B43" t="s">
        <v>7</v>
      </c>
      <c r="C43" s="26">
        <v>356781863695.79016</v>
      </c>
      <c r="D43" t="b">
        <v>0</v>
      </c>
      <c r="F43" s="26"/>
      <c r="G43" s="26"/>
    </row>
    <row r="44" spans="1:17">
      <c r="A44">
        <v>2039</v>
      </c>
      <c r="B44" t="s">
        <v>7</v>
      </c>
      <c r="C44" s="26">
        <v>345733441867.59033</v>
      </c>
      <c r="D44" t="b">
        <v>0</v>
      </c>
      <c r="F44" s="26"/>
      <c r="G44" s="26"/>
    </row>
    <row r="45" spans="1:17">
      <c r="A45">
        <v>2040</v>
      </c>
      <c r="B45" t="s">
        <v>7</v>
      </c>
      <c r="C45" s="26">
        <v>339721449764.89587</v>
      </c>
      <c r="D45" t="b">
        <v>0</v>
      </c>
      <c r="F45" s="26"/>
      <c r="G45" s="26"/>
    </row>
    <row r="46" spans="1:17">
      <c r="A46">
        <v>2041</v>
      </c>
      <c r="B46" t="s">
        <v>7</v>
      </c>
      <c r="C46" s="26">
        <v>332875110921.35291</v>
      </c>
      <c r="D46" t="b">
        <v>0</v>
      </c>
      <c r="F46" s="26"/>
      <c r="G46" s="26"/>
    </row>
    <row r="47" spans="1:17">
      <c r="A47">
        <v>2042</v>
      </c>
      <c r="B47" t="s">
        <v>7</v>
      </c>
      <c r="C47" s="26">
        <v>325018844979.45966</v>
      </c>
      <c r="D47" t="b">
        <v>0</v>
      </c>
      <c r="F47" s="26"/>
      <c r="G47" s="26"/>
    </row>
    <row r="48" spans="1:17">
      <c r="A48">
        <v>2043</v>
      </c>
      <c r="B48" t="s">
        <v>7</v>
      </c>
      <c r="C48" s="26">
        <v>324993270980.755</v>
      </c>
      <c r="D48" t="b">
        <v>0</v>
      </c>
      <c r="F48" s="26"/>
      <c r="G48" s="26"/>
    </row>
    <row r="49" spans="1:7">
      <c r="A49">
        <v>2044</v>
      </c>
      <c r="B49" t="s">
        <v>7</v>
      </c>
      <c r="C49" s="26">
        <v>325444426044.4198</v>
      </c>
      <c r="D49" t="b">
        <v>0</v>
      </c>
      <c r="F49" s="26"/>
      <c r="G49" s="26"/>
    </row>
    <row r="50" spans="1:7">
      <c r="A50">
        <v>2045</v>
      </c>
      <c r="B50" t="s">
        <v>7</v>
      </c>
      <c r="C50" s="26">
        <v>326677611872.99683</v>
      </c>
      <c r="D50" t="b">
        <v>0</v>
      </c>
      <c r="F50" s="26"/>
      <c r="G50" s="26"/>
    </row>
    <row r="51" spans="1:7">
      <c r="A51">
        <v>2046</v>
      </c>
      <c r="B51" t="s">
        <v>7</v>
      </c>
      <c r="C51" s="26">
        <v>327107076649.19678</v>
      </c>
      <c r="D51" t="b">
        <v>0</v>
      </c>
      <c r="F51" s="26"/>
      <c r="G51" s="26"/>
    </row>
    <row r="52" spans="1:7">
      <c r="A52">
        <v>2022</v>
      </c>
      <c r="B52" t="s">
        <v>8</v>
      </c>
      <c r="C52" s="26">
        <v>12261299969.864595</v>
      </c>
      <c r="D52" t="b">
        <v>0</v>
      </c>
      <c r="F52" s="26"/>
    </row>
    <row r="53" spans="1:7">
      <c r="A53">
        <v>2023</v>
      </c>
      <c r="B53" t="s">
        <v>8</v>
      </c>
      <c r="C53" s="26">
        <v>15275627099.215931</v>
      </c>
      <c r="D53" t="b">
        <v>0</v>
      </c>
      <c r="F53" s="26"/>
    </row>
    <row r="54" spans="1:7">
      <c r="A54">
        <v>2024</v>
      </c>
      <c r="B54" t="s">
        <v>8</v>
      </c>
      <c r="C54" s="26">
        <v>18994342489.283363</v>
      </c>
      <c r="D54" t="b">
        <v>0</v>
      </c>
      <c r="F54" s="26"/>
    </row>
    <row r="55" spans="1:7">
      <c r="A55">
        <v>2025</v>
      </c>
      <c r="B55" t="s">
        <v>8</v>
      </c>
      <c r="C55" s="26">
        <v>23564810052.388882</v>
      </c>
      <c r="D55" t="b">
        <v>0</v>
      </c>
      <c r="F55" s="26"/>
    </row>
    <row r="56" spans="1:7">
      <c r="A56">
        <v>2026</v>
      </c>
      <c r="B56" t="s">
        <v>8</v>
      </c>
      <c r="C56" s="26">
        <v>29135555141.940674</v>
      </c>
      <c r="D56" t="b">
        <v>0</v>
      </c>
      <c r="F56" s="26"/>
    </row>
    <row r="57" spans="1:7">
      <c r="A57">
        <v>2027</v>
      </c>
      <c r="B57" t="s">
        <v>8</v>
      </c>
      <c r="C57" s="26">
        <v>37820590071.805588</v>
      </c>
      <c r="D57" t="b">
        <v>0</v>
      </c>
      <c r="F57" s="26"/>
    </row>
    <row r="58" spans="1:7">
      <c r="A58">
        <v>2028</v>
      </c>
      <c r="B58" t="s">
        <v>8</v>
      </c>
      <c r="C58" s="26">
        <v>48101776241.477623</v>
      </c>
      <c r="D58" t="b">
        <v>0</v>
      </c>
      <c r="F58" s="26"/>
    </row>
    <row r="59" spans="1:7">
      <c r="A59">
        <v>2029</v>
      </c>
      <c r="B59" t="s">
        <v>8</v>
      </c>
      <c r="C59" s="26">
        <v>60090826720.925903</v>
      </c>
      <c r="D59" t="b">
        <v>0</v>
      </c>
      <c r="F59" s="26"/>
    </row>
    <row r="60" spans="1:7">
      <c r="A60">
        <v>2030</v>
      </c>
      <c r="B60" t="s">
        <v>8</v>
      </c>
      <c r="C60" s="26">
        <v>73972667787.439255</v>
      </c>
      <c r="D60" t="b">
        <v>0</v>
      </c>
      <c r="F60" s="26"/>
    </row>
    <row r="61" spans="1:7">
      <c r="A61">
        <v>2031</v>
      </c>
      <c r="B61" t="s">
        <v>8</v>
      </c>
      <c r="C61" s="26">
        <v>89922632892.139816</v>
      </c>
      <c r="D61" t="b">
        <v>0</v>
      </c>
      <c r="F61" s="26"/>
    </row>
    <row r="62" spans="1:7">
      <c r="A62">
        <v>2032</v>
      </c>
      <c r="B62" t="s">
        <v>8</v>
      </c>
      <c r="C62" s="26">
        <v>106144055477.28603</v>
      </c>
      <c r="D62" t="b">
        <v>0</v>
      </c>
      <c r="F62" s="26"/>
    </row>
    <row r="63" spans="1:7">
      <c r="A63">
        <v>2033</v>
      </c>
      <c r="B63" t="s">
        <v>8</v>
      </c>
      <c r="C63" s="26">
        <v>124040708297.68102</v>
      </c>
      <c r="D63" t="b">
        <v>0</v>
      </c>
      <c r="F63" s="26"/>
    </row>
    <row r="64" spans="1:7">
      <c r="A64">
        <v>2034</v>
      </c>
      <c r="B64" t="s">
        <v>8</v>
      </c>
      <c r="C64" s="26">
        <v>143061885297.68423</v>
      </c>
      <c r="D64" t="b">
        <v>0</v>
      </c>
      <c r="F64" s="26"/>
    </row>
    <row r="65" spans="1:9">
      <c r="A65">
        <v>2035</v>
      </c>
      <c r="B65" t="s">
        <v>8</v>
      </c>
      <c r="C65" s="26">
        <v>163017496866.0155</v>
      </c>
      <c r="D65" t="b">
        <v>0</v>
      </c>
      <c r="F65" s="26"/>
    </row>
    <row r="66" spans="1:9">
      <c r="A66">
        <v>2036</v>
      </c>
      <c r="B66" t="s">
        <v>8</v>
      </c>
      <c r="C66" s="26">
        <v>182682561386.75308</v>
      </c>
      <c r="D66" t="b">
        <v>0</v>
      </c>
      <c r="F66" s="26"/>
    </row>
    <row r="67" spans="1:9">
      <c r="A67">
        <v>2037</v>
      </c>
      <c r="B67" t="s">
        <v>8</v>
      </c>
      <c r="C67" s="26">
        <v>202003893637.83652</v>
      </c>
      <c r="D67" t="b">
        <v>0</v>
      </c>
      <c r="F67" s="26"/>
    </row>
    <row r="68" spans="1:9">
      <c r="A68">
        <v>2038</v>
      </c>
      <c r="B68" t="s">
        <v>8</v>
      </c>
      <c r="C68" s="26">
        <v>220785073294.88422</v>
      </c>
      <c r="D68" t="b">
        <v>0</v>
      </c>
      <c r="F68" s="26"/>
    </row>
    <row r="69" spans="1:9">
      <c r="A69">
        <v>2039</v>
      </c>
      <c r="B69" t="s">
        <v>8</v>
      </c>
      <c r="C69" s="26">
        <v>238879244427.9924</v>
      </c>
      <c r="D69" t="b">
        <v>0</v>
      </c>
      <c r="F69" s="26"/>
    </row>
    <row r="70" spans="1:9">
      <c r="A70">
        <v>2040</v>
      </c>
      <c r="B70" t="s">
        <v>8</v>
      </c>
      <c r="C70" s="26">
        <v>256193915432.64801</v>
      </c>
      <c r="D70" t="b">
        <v>0</v>
      </c>
      <c r="F70" s="26"/>
    </row>
    <row r="71" spans="1:9">
      <c r="A71">
        <v>2041</v>
      </c>
      <c r="B71" t="s">
        <v>8</v>
      </c>
      <c r="C71" s="26">
        <v>272710478745.54306</v>
      </c>
      <c r="D71" t="b">
        <v>0</v>
      </c>
      <c r="F71" s="26"/>
    </row>
    <row r="72" spans="1:9">
      <c r="A72">
        <v>2042</v>
      </c>
      <c r="B72" t="s">
        <v>8</v>
      </c>
      <c r="C72" s="26">
        <v>288197950477.73926</v>
      </c>
      <c r="D72" t="b">
        <v>0</v>
      </c>
      <c r="F72" s="26"/>
    </row>
    <row r="73" spans="1:9">
      <c r="A73">
        <v>2043</v>
      </c>
      <c r="B73" t="s">
        <v>8</v>
      </c>
      <c r="C73" s="26">
        <v>302627465875.78296</v>
      </c>
      <c r="D73" t="b">
        <v>0</v>
      </c>
      <c r="F73" s="26"/>
    </row>
    <row r="74" spans="1:9">
      <c r="A74">
        <v>2044</v>
      </c>
      <c r="B74" t="s">
        <v>8</v>
      </c>
      <c r="C74" s="26">
        <v>315937229644.83661</v>
      </c>
      <c r="D74" t="b">
        <v>0</v>
      </c>
      <c r="F74" s="26"/>
    </row>
    <row r="75" spans="1:9">
      <c r="A75">
        <v>2045</v>
      </c>
      <c r="B75" t="s">
        <v>8</v>
      </c>
      <c r="C75" s="26">
        <v>328033809096.94073</v>
      </c>
      <c r="D75" t="b">
        <v>0</v>
      </c>
      <c r="F75" s="26"/>
    </row>
    <row r="76" spans="1:9">
      <c r="A76">
        <v>2046</v>
      </c>
      <c r="B76" t="s">
        <v>8</v>
      </c>
      <c r="C76" s="26">
        <v>340590685602.875</v>
      </c>
      <c r="D76" t="b">
        <v>0</v>
      </c>
    </row>
    <row r="77" spans="1:9">
      <c r="A77">
        <v>2022</v>
      </c>
      <c r="B77" t="s">
        <v>9</v>
      </c>
      <c r="C77" s="26">
        <v>13804800.674287738</v>
      </c>
      <c r="D77" t="b">
        <v>0</v>
      </c>
      <c r="E77" t="s">
        <v>6</v>
      </c>
      <c r="I77" s="26"/>
    </row>
    <row r="78" spans="1:9">
      <c r="A78">
        <v>2023</v>
      </c>
      <c r="B78" t="s">
        <v>9</v>
      </c>
      <c r="C78" s="26">
        <v>66279190.335331857</v>
      </c>
      <c r="D78" t="b">
        <v>0</v>
      </c>
      <c r="G78" s="33"/>
      <c r="I78" s="26"/>
    </row>
    <row r="79" spans="1:9">
      <c r="A79">
        <v>2024</v>
      </c>
      <c r="B79" t="s">
        <v>9</v>
      </c>
      <c r="C79" s="26">
        <v>1376026784.1448224</v>
      </c>
      <c r="D79" t="b">
        <v>0</v>
      </c>
      <c r="G79" s="33"/>
      <c r="I79" s="26"/>
    </row>
    <row r="80" spans="1:9">
      <c r="A80">
        <v>2025</v>
      </c>
      <c r="B80" t="s">
        <v>9</v>
      </c>
      <c r="C80" s="26">
        <v>2620981011.9308157</v>
      </c>
      <c r="D80" t="b">
        <v>0</v>
      </c>
      <c r="E80" s="15"/>
      <c r="G80" s="33"/>
      <c r="I80" s="26"/>
    </row>
    <row r="81" spans="1:9">
      <c r="A81">
        <v>2026</v>
      </c>
      <c r="B81" t="s">
        <v>9</v>
      </c>
      <c r="C81" s="26">
        <v>4342714031.0037546</v>
      </c>
      <c r="D81" t="b">
        <v>0</v>
      </c>
      <c r="E81" s="15"/>
      <c r="G81" s="33"/>
      <c r="I81" s="26"/>
    </row>
    <row r="82" spans="1:9">
      <c r="A82">
        <v>2027</v>
      </c>
      <c r="B82" t="s">
        <v>9</v>
      </c>
      <c r="C82" s="26">
        <v>6948971146.1669474</v>
      </c>
      <c r="D82" t="b">
        <v>0</v>
      </c>
      <c r="G82" s="33"/>
      <c r="I82" s="26"/>
    </row>
    <row r="83" spans="1:9">
      <c r="A83">
        <v>2028</v>
      </c>
      <c r="B83" t="s">
        <v>9</v>
      </c>
      <c r="C83" s="26">
        <v>9301203001.4114227</v>
      </c>
      <c r="D83" t="b">
        <v>0</v>
      </c>
      <c r="G83" s="33"/>
      <c r="I83" s="26"/>
    </row>
    <row r="84" spans="1:9">
      <c r="A84">
        <v>2029</v>
      </c>
      <c r="B84" t="s">
        <v>9</v>
      </c>
      <c r="C84" s="26">
        <v>12444141213.043985</v>
      </c>
      <c r="D84" t="b">
        <v>0</v>
      </c>
      <c r="G84" s="33"/>
      <c r="I84" s="26"/>
    </row>
    <row r="85" spans="1:9">
      <c r="A85">
        <v>2030</v>
      </c>
      <c r="B85" t="s">
        <v>9</v>
      </c>
      <c r="C85" s="26">
        <v>16450417319.733362</v>
      </c>
      <c r="D85" t="b">
        <v>0</v>
      </c>
      <c r="G85" s="33"/>
      <c r="I85" s="26"/>
    </row>
    <row r="86" spans="1:9">
      <c r="A86">
        <v>2031</v>
      </c>
      <c r="B86" t="s">
        <v>9</v>
      </c>
      <c r="C86" s="26">
        <v>21103996038.504639</v>
      </c>
      <c r="D86" t="b">
        <v>0</v>
      </c>
      <c r="G86" s="33"/>
      <c r="I86" s="26"/>
    </row>
    <row r="87" spans="1:9">
      <c r="A87">
        <v>2032</v>
      </c>
      <c r="B87" t="s">
        <v>9</v>
      </c>
      <c r="C87" s="26">
        <v>25667435849.265495</v>
      </c>
      <c r="D87" t="b">
        <v>0</v>
      </c>
      <c r="G87" s="33"/>
      <c r="I87" s="26"/>
    </row>
    <row r="88" spans="1:9">
      <c r="A88">
        <v>2033</v>
      </c>
      <c r="B88" t="s">
        <v>9</v>
      </c>
      <c r="C88" s="26">
        <v>30021396891.61499</v>
      </c>
      <c r="D88" t="b">
        <v>0</v>
      </c>
      <c r="G88" s="33"/>
      <c r="I88" s="26"/>
    </row>
    <row r="89" spans="1:9">
      <c r="A89">
        <v>2034</v>
      </c>
      <c r="B89" t="s">
        <v>9</v>
      </c>
      <c r="C89" s="26">
        <v>35196969435.762054</v>
      </c>
      <c r="D89" t="b">
        <v>0</v>
      </c>
      <c r="G89" s="33"/>
      <c r="I89" s="26"/>
    </row>
    <row r="90" spans="1:9">
      <c r="A90">
        <v>2035</v>
      </c>
      <c r="B90" t="s">
        <v>9</v>
      </c>
      <c r="C90" s="26">
        <v>41096361901.660156</v>
      </c>
      <c r="D90" t="b">
        <v>0</v>
      </c>
      <c r="G90" s="33"/>
      <c r="I90" s="26"/>
    </row>
    <row r="91" spans="1:9">
      <c r="A91">
        <v>2036</v>
      </c>
      <c r="B91" t="s">
        <v>9</v>
      </c>
      <c r="C91" s="26">
        <v>46755895878.63382</v>
      </c>
      <c r="D91" t="b">
        <v>0</v>
      </c>
      <c r="G91" s="33"/>
      <c r="I91" s="26"/>
    </row>
    <row r="92" spans="1:9">
      <c r="A92">
        <v>2037</v>
      </c>
      <c r="B92" t="s">
        <v>9</v>
      </c>
      <c r="C92" s="26">
        <v>52884019061.663857</v>
      </c>
      <c r="D92" t="b">
        <v>0</v>
      </c>
      <c r="G92" s="33"/>
      <c r="I92" s="26"/>
    </row>
    <row r="93" spans="1:9">
      <c r="A93">
        <v>2038</v>
      </c>
      <c r="B93" t="s">
        <v>9</v>
      </c>
      <c r="C93" s="26">
        <v>59107568993.842491</v>
      </c>
      <c r="D93" t="b">
        <v>0</v>
      </c>
      <c r="G93" s="33"/>
      <c r="I93" s="26"/>
    </row>
    <row r="94" spans="1:9">
      <c r="A94">
        <v>2039</v>
      </c>
      <c r="B94" t="s">
        <v>9</v>
      </c>
      <c r="C94" s="26">
        <v>65569807094.396729</v>
      </c>
      <c r="D94" t="b">
        <v>0</v>
      </c>
      <c r="G94" s="33"/>
      <c r="I94" s="26"/>
    </row>
    <row r="95" spans="1:9">
      <c r="A95">
        <v>2040</v>
      </c>
      <c r="B95" t="s">
        <v>9</v>
      </c>
      <c r="C95" s="26">
        <v>70842377883.868256</v>
      </c>
      <c r="D95" t="b">
        <v>0</v>
      </c>
      <c r="G95" s="33"/>
      <c r="I95" s="26"/>
    </row>
    <row r="96" spans="1:9">
      <c r="A96">
        <v>2041</v>
      </c>
      <c r="B96" t="s">
        <v>9</v>
      </c>
      <c r="C96" s="26">
        <v>76297855133.989716</v>
      </c>
      <c r="D96" t="b">
        <v>0</v>
      </c>
      <c r="G96" s="33"/>
      <c r="I96" s="26"/>
    </row>
    <row r="97" spans="1:9">
      <c r="A97">
        <v>2042</v>
      </c>
      <c r="B97" t="s">
        <v>9</v>
      </c>
      <c r="C97" s="26">
        <v>82027168839.878769</v>
      </c>
      <c r="D97" t="b">
        <v>0</v>
      </c>
      <c r="G97" s="33"/>
      <c r="I97" s="26"/>
    </row>
    <row r="98" spans="1:9">
      <c r="A98">
        <v>2043</v>
      </c>
      <c r="B98" t="s">
        <v>9</v>
      </c>
      <c r="C98" s="26">
        <v>86097002697.134766</v>
      </c>
      <c r="D98" t="b">
        <v>0</v>
      </c>
      <c r="G98" s="33"/>
      <c r="I98" s="26"/>
    </row>
    <row r="99" spans="1:9">
      <c r="A99">
        <v>2044</v>
      </c>
      <c r="B99" t="s">
        <v>9</v>
      </c>
      <c r="C99" s="26">
        <v>90171481471.787003</v>
      </c>
      <c r="D99" t="b">
        <v>0</v>
      </c>
      <c r="G99" s="33"/>
      <c r="I99" s="26"/>
    </row>
    <row r="100" spans="1:9">
      <c r="A100">
        <v>2045</v>
      </c>
      <c r="B100" t="s">
        <v>9</v>
      </c>
      <c r="C100" s="26">
        <v>94106417280.777634</v>
      </c>
      <c r="D100" t="b">
        <v>0</v>
      </c>
      <c r="G100" s="33"/>
      <c r="I100" s="26"/>
    </row>
    <row r="101" spans="1:9">
      <c r="A101">
        <v>2046</v>
      </c>
      <c r="B101" t="s">
        <v>9</v>
      </c>
      <c r="C101" s="26">
        <v>98379321503.02005</v>
      </c>
      <c r="D101" t="b">
        <v>0</v>
      </c>
      <c r="G101" s="33"/>
      <c r="I101" s="26"/>
    </row>
    <row r="102" spans="1:9">
      <c r="A102">
        <v>2022</v>
      </c>
      <c r="B102" t="s">
        <v>10</v>
      </c>
      <c r="C102" s="26">
        <v>129902805.04880583</v>
      </c>
      <c r="D102" t="b">
        <v>0</v>
      </c>
      <c r="E102" s="15"/>
      <c r="G102" s="33"/>
      <c r="I102" s="26"/>
    </row>
    <row r="103" spans="1:9">
      <c r="A103">
        <v>2023</v>
      </c>
      <c r="B103" t="s">
        <v>10</v>
      </c>
      <c r="C103" s="26">
        <v>148026280.94204837</v>
      </c>
      <c r="D103" t="b">
        <v>0</v>
      </c>
      <c r="E103" s="15"/>
      <c r="I103" s="26"/>
    </row>
    <row r="104" spans="1:9">
      <c r="A104">
        <v>2024</v>
      </c>
      <c r="B104" t="s">
        <v>10</v>
      </c>
      <c r="C104" s="26">
        <v>185187859.02584773</v>
      </c>
      <c r="D104" t="b">
        <v>0</v>
      </c>
      <c r="E104" s="15"/>
      <c r="I104" s="26"/>
    </row>
    <row r="105" spans="1:9">
      <c r="A105">
        <v>2025</v>
      </c>
      <c r="B105" t="s">
        <v>10</v>
      </c>
      <c r="C105" s="26">
        <v>240660756.64978155</v>
      </c>
      <c r="D105" t="b">
        <v>0</v>
      </c>
      <c r="E105" s="15"/>
      <c r="I105" s="26"/>
    </row>
    <row r="106" spans="1:9">
      <c r="A106">
        <v>2026</v>
      </c>
      <c r="B106" t="s">
        <v>10</v>
      </c>
      <c r="C106" s="26">
        <v>463650259.45747459</v>
      </c>
      <c r="D106" t="b">
        <v>0</v>
      </c>
      <c r="E106" s="15"/>
      <c r="I106" s="26"/>
    </row>
    <row r="107" spans="1:9">
      <c r="A107">
        <v>2027</v>
      </c>
      <c r="B107" t="s">
        <v>10</v>
      </c>
      <c r="C107" s="26">
        <v>820741165.34562182</v>
      </c>
      <c r="D107" t="b">
        <v>0</v>
      </c>
      <c r="E107" s="15"/>
      <c r="I107" s="26"/>
    </row>
    <row r="108" spans="1:9">
      <c r="A108">
        <v>2028</v>
      </c>
      <c r="B108" t="s">
        <v>10</v>
      </c>
      <c r="C108" s="26">
        <v>1302167752.0904403</v>
      </c>
      <c r="D108" t="b">
        <v>0</v>
      </c>
      <c r="E108" s="15"/>
      <c r="I108" s="26"/>
    </row>
    <row r="109" spans="1:9">
      <c r="A109">
        <v>2029</v>
      </c>
      <c r="B109" t="s">
        <v>10</v>
      </c>
      <c r="C109" s="26">
        <v>1903841623.9749417</v>
      </c>
      <c r="D109" t="b">
        <v>0</v>
      </c>
      <c r="E109" s="15"/>
      <c r="I109" s="26"/>
    </row>
    <row r="110" spans="1:9">
      <c r="A110">
        <v>2030</v>
      </c>
      <c r="B110" t="s">
        <v>10</v>
      </c>
      <c r="C110" s="26">
        <v>2631452183.2234101</v>
      </c>
      <c r="D110" t="b">
        <v>0</v>
      </c>
      <c r="E110" s="15"/>
      <c r="I110" s="26"/>
    </row>
    <row r="111" spans="1:9">
      <c r="A111">
        <v>2031</v>
      </c>
      <c r="B111" t="s">
        <v>10</v>
      </c>
      <c r="C111" s="26">
        <v>3377414327.8731871</v>
      </c>
      <c r="D111" t="b">
        <v>0</v>
      </c>
      <c r="E111" s="15"/>
      <c r="I111" s="26"/>
    </row>
    <row r="112" spans="1:9">
      <c r="A112">
        <v>2032</v>
      </c>
      <c r="B112" t="s">
        <v>10</v>
      </c>
      <c r="C112" s="26">
        <v>4151949936.9434061</v>
      </c>
      <c r="D112" t="b">
        <v>0</v>
      </c>
      <c r="E112" s="15"/>
      <c r="I112" s="26"/>
    </row>
    <row r="113" spans="1:9">
      <c r="A113">
        <v>2033</v>
      </c>
      <c r="B113" t="s">
        <v>10</v>
      </c>
      <c r="C113" s="26">
        <v>4957690794.048173</v>
      </c>
      <c r="D113" t="b">
        <v>0</v>
      </c>
      <c r="E113" s="15"/>
      <c r="I113" s="26"/>
    </row>
    <row r="114" spans="1:9">
      <c r="A114">
        <v>2034</v>
      </c>
      <c r="B114" t="s">
        <v>10</v>
      </c>
      <c r="C114" s="26">
        <v>5787199487.0893259</v>
      </c>
      <c r="D114" t="b">
        <v>0</v>
      </c>
      <c r="E114" s="15"/>
      <c r="I114" s="26"/>
    </row>
    <row r="115" spans="1:9">
      <c r="A115">
        <v>2035</v>
      </c>
      <c r="B115" t="s">
        <v>10</v>
      </c>
      <c r="C115" s="26">
        <v>6647055277.0530462</v>
      </c>
      <c r="D115" t="b">
        <v>0</v>
      </c>
      <c r="E115" s="15"/>
      <c r="I115" s="26"/>
    </row>
    <row r="116" spans="1:9">
      <c r="A116">
        <v>2036</v>
      </c>
      <c r="B116" t="s">
        <v>10</v>
      </c>
      <c r="C116" s="26">
        <v>7503732573.8769245</v>
      </c>
      <c r="D116" t="b">
        <v>0</v>
      </c>
      <c r="E116" s="15"/>
      <c r="I116" s="26"/>
    </row>
    <row r="117" spans="1:9">
      <c r="A117">
        <v>2037</v>
      </c>
      <c r="B117" t="s">
        <v>10</v>
      </c>
      <c r="C117" s="26">
        <v>8354491392.7789478</v>
      </c>
      <c r="D117" t="b">
        <v>0</v>
      </c>
      <c r="E117" s="15"/>
      <c r="I117" s="26"/>
    </row>
    <row r="118" spans="1:9">
      <c r="A118">
        <v>2038</v>
      </c>
      <c r="B118" t="s">
        <v>10</v>
      </c>
      <c r="C118" s="26">
        <v>9190733088.3479939</v>
      </c>
      <c r="D118" t="b">
        <v>0</v>
      </c>
      <c r="E118" s="15"/>
      <c r="I118" s="26"/>
    </row>
    <row r="119" spans="1:9">
      <c r="A119">
        <v>2039</v>
      </c>
      <c r="B119" t="s">
        <v>10</v>
      </c>
      <c r="C119" s="26">
        <v>10006200921.624125</v>
      </c>
      <c r="D119" t="b">
        <v>0</v>
      </c>
      <c r="E119" s="15"/>
      <c r="I119" s="26"/>
    </row>
    <row r="120" spans="1:9">
      <c r="A120">
        <v>2040</v>
      </c>
      <c r="B120" t="s">
        <v>10</v>
      </c>
      <c r="C120" s="26">
        <v>10797508393.212248</v>
      </c>
      <c r="D120" t="b">
        <v>0</v>
      </c>
      <c r="E120" s="15"/>
      <c r="I120" s="26"/>
    </row>
    <row r="121" spans="1:9">
      <c r="A121">
        <v>2041</v>
      </c>
      <c r="B121" t="s">
        <v>10</v>
      </c>
      <c r="C121" s="26">
        <v>11559646430.344521</v>
      </c>
      <c r="D121" t="b">
        <v>0</v>
      </c>
      <c r="E121" s="15"/>
      <c r="I121" s="26"/>
    </row>
    <row r="122" spans="1:9">
      <c r="A122">
        <v>2042</v>
      </c>
      <c r="B122" t="s">
        <v>10</v>
      </c>
      <c r="C122" s="26">
        <v>12283324208.868454</v>
      </c>
      <c r="D122" t="b">
        <v>0</v>
      </c>
      <c r="E122" s="15"/>
      <c r="I122" s="26"/>
    </row>
    <row r="123" spans="1:9">
      <c r="A123">
        <v>2043</v>
      </c>
      <c r="B123" t="s">
        <v>10</v>
      </c>
      <c r="C123" s="26">
        <v>12965733210.319836</v>
      </c>
      <c r="D123" t="b">
        <v>0</v>
      </c>
      <c r="E123" s="15"/>
      <c r="I123" s="26"/>
    </row>
    <row r="124" spans="1:9">
      <c r="A124">
        <v>2044</v>
      </c>
      <c r="B124" t="s">
        <v>10</v>
      </c>
      <c r="C124" s="26">
        <v>13602076203.718052</v>
      </c>
      <c r="D124" t="b">
        <v>0</v>
      </c>
      <c r="E124" s="15"/>
      <c r="I124" s="26"/>
    </row>
    <row r="125" spans="1:9">
      <c r="A125">
        <v>2045</v>
      </c>
      <c r="B125" t="s">
        <v>10</v>
      </c>
      <c r="C125" s="26">
        <v>14187597369.955536</v>
      </c>
      <c r="D125" t="b">
        <v>0</v>
      </c>
      <c r="E125" s="15"/>
      <c r="I125" s="26"/>
    </row>
    <row r="126" spans="1:9">
      <c r="A126">
        <v>2046</v>
      </c>
      <c r="B126" t="s">
        <v>10</v>
      </c>
      <c r="C126" s="26">
        <v>14803279828.204992</v>
      </c>
      <c r="D126" t="b">
        <v>0</v>
      </c>
      <c r="E126" s="15"/>
      <c r="I126" s="26"/>
    </row>
    <row r="127" spans="1:9">
      <c r="A127">
        <v>2022</v>
      </c>
      <c r="B127" t="s">
        <v>11</v>
      </c>
      <c r="C127" s="26">
        <v>0</v>
      </c>
      <c r="D127" t="b">
        <v>0</v>
      </c>
      <c r="E127" t="s">
        <v>6</v>
      </c>
      <c r="G127" s="26"/>
    </row>
    <row r="128" spans="1:9">
      <c r="A128">
        <v>2023</v>
      </c>
      <c r="B128" t="s">
        <v>11</v>
      </c>
      <c r="C128" s="26">
        <v>28626985.756008446</v>
      </c>
      <c r="D128" t="b">
        <v>0</v>
      </c>
      <c r="G128" s="26"/>
    </row>
    <row r="129" spans="1:7">
      <c r="A129">
        <v>2024</v>
      </c>
      <c r="B129" t="s">
        <v>11</v>
      </c>
      <c r="C129" s="26">
        <v>134900776.90919486</v>
      </c>
      <c r="D129" t="b">
        <v>0</v>
      </c>
      <c r="G129" s="26"/>
    </row>
    <row r="130" spans="1:7">
      <c r="A130">
        <v>2025</v>
      </c>
      <c r="B130" t="s">
        <v>11</v>
      </c>
      <c r="C130" s="26">
        <v>308984782.39738965</v>
      </c>
      <c r="D130" t="b">
        <v>0</v>
      </c>
      <c r="G130" s="26"/>
    </row>
    <row r="131" spans="1:7">
      <c r="A131">
        <v>2026</v>
      </c>
      <c r="B131" t="s">
        <v>11</v>
      </c>
      <c r="C131" s="26">
        <v>619406856.79677212</v>
      </c>
      <c r="D131" t="b">
        <v>0</v>
      </c>
      <c r="G131" s="26"/>
    </row>
    <row r="132" spans="1:7">
      <c r="A132">
        <v>2027</v>
      </c>
      <c r="B132" t="s">
        <v>11</v>
      </c>
      <c r="C132" s="26">
        <v>1278536662.3953345</v>
      </c>
      <c r="D132" t="b">
        <v>0</v>
      </c>
      <c r="G132" s="26"/>
    </row>
    <row r="133" spans="1:7">
      <c r="A133">
        <v>2028</v>
      </c>
      <c r="B133" t="s">
        <v>11</v>
      </c>
      <c r="C133" s="26">
        <v>2471098790.5837584</v>
      </c>
      <c r="D133" t="b">
        <v>0</v>
      </c>
      <c r="G133" s="26"/>
    </row>
    <row r="134" spans="1:7">
      <c r="A134">
        <v>2029</v>
      </c>
      <c r="B134" t="s">
        <v>11</v>
      </c>
      <c r="C134" s="26">
        <v>4128258469.1080346</v>
      </c>
      <c r="D134" t="b">
        <v>0</v>
      </c>
      <c r="G134" s="26"/>
    </row>
    <row r="135" spans="1:7">
      <c r="A135">
        <v>2030</v>
      </c>
      <c r="B135" t="s">
        <v>11</v>
      </c>
      <c r="C135" s="26">
        <v>6182105864.2293959</v>
      </c>
      <c r="D135" t="b">
        <v>0</v>
      </c>
      <c r="G135" s="26"/>
    </row>
    <row r="136" spans="1:7">
      <c r="A136">
        <v>2031</v>
      </c>
      <c r="B136" t="s">
        <v>11</v>
      </c>
      <c r="C136" s="26">
        <v>8453919163.2117987</v>
      </c>
      <c r="D136" t="b">
        <v>0</v>
      </c>
      <c r="G136" s="26"/>
    </row>
    <row r="137" spans="1:7">
      <c r="A137">
        <v>2032</v>
      </c>
      <c r="B137" t="s">
        <v>11</v>
      </c>
      <c r="C137" s="26">
        <v>10674078470.306105</v>
      </c>
      <c r="D137" t="b">
        <v>0</v>
      </c>
      <c r="G137" s="26"/>
    </row>
    <row r="138" spans="1:7">
      <c r="A138">
        <v>2033</v>
      </c>
      <c r="B138" t="s">
        <v>11</v>
      </c>
      <c r="C138" s="26">
        <v>12757884940.210365</v>
      </c>
      <c r="D138" t="b">
        <v>0</v>
      </c>
      <c r="G138" s="26"/>
    </row>
    <row r="139" spans="1:7">
      <c r="A139">
        <v>2034</v>
      </c>
      <c r="B139" t="s">
        <v>11</v>
      </c>
      <c r="C139" s="26">
        <v>15558442071.171707</v>
      </c>
      <c r="D139" t="b">
        <v>0</v>
      </c>
      <c r="G139" s="26"/>
    </row>
    <row r="140" spans="1:7">
      <c r="A140">
        <v>2035</v>
      </c>
      <c r="B140" t="s">
        <v>11</v>
      </c>
      <c r="C140" s="26">
        <v>18669973132.56282</v>
      </c>
      <c r="D140" t="b">
        <v>0</v>
      </c>
      <c r="G140" s="26"/>
    </row>
    <row r="141" spans="1:7">
      <c r="A141">
        <v>2036</v>
      </c>
      <c r="B141" t="s">
        <v>11</v>
      </c>
      <c r="C141" s="26">
        <v>21618225229.648415</v>
      </c>
      <c r="D141" t="b">
        <v>0</v>
      </c>
      <c r="G141" s="26"/>
    </row>
    <row r="142" spans="1:7">
      <c r="A142">
        <v>2037</v>
      </c>
      <c r="B142" t="s">
        <v>11</v>
      </c>
      <c r="C142" s="26">
        <v>24764804446.32597</v>
      </c>
      <c r="D142" t="b">
        <v>0</v>
      </c>
      <c r="G142" s="26"/>
    </row>
    <row r="143" spans="1:7">
      <c r="A143">
        <v>2038</v>
      </c>
      <c r="B143" t="s">
        <v>11</v>
      </c>
      <c r="C143" s="26">
        <v>28056130835.554955</v>
      </c>
      <c r="D143" t="b">
        <v>0</v>
      </c>
      <c r="G143" s="26"/>
    </row>
    <row r="144" spans="1:7">
      <c r="A144">
        <v>2039</v>
      </c>
      <c r="B144" t="s">
        <v>11</v>
      </c>
      <c r="C144" s="26">
        <v>31496929604.484623</v>
      </c>
      <c r="D144" t="b">
        <v>0</v>
      </c>
      <c r="G144" s="26"/>
    </row>
    <row r="145" spans="1:8">
      <c r="A145">
        <v>2040</v>
      </c>
      <c r="B145" t="s">
        <v>11</v>
      </c>
      <c r="C145" s="26">
        <v>34484333944.107986</v>
      </c>
      <c r="D145" t="b">
        <v>0</v>
      </c>
      <c r="G145" s="26"/>
    </row>
    <row r="146" spans="1:8">
      <c r="A146">
        <v>2041</v>
      </c>
      <c r="B146" t="s">
        <v>11</v>
      </c>
      <c r="C146" s="26">
        <v>37754242548.207756</v>
      </c>
      <c r="D146" t="b">
        <v>0</v>
      </c>
      <c r="G146" s="26"/>
    </row>
    <row r="147" spans="1:8">
      <c r="A147">
        <v>2042</v>
      </c>
      <c r="B147" t="s">
        <v>11</v>
      </c>
      <c r="C147" s="26">
        <v>41396034263.500061</v>
      </c>
      <c r="D147" t="b">
        <v>0</v>
      </c>
      <c r="G147" s="26"/>
    </row>
    <row r="148" spans="1:8">
      <c r="A148">
        <v>2043</v>
      </c>
      <c r="B148" t="s">
        <v>11</v>
      </c>
      <c r="C148" s="26">
        <v>43352474481.473274</v>
      </c>
      <c r="D148" t="b">
        <v>0</v>
      </c>
      <c r="G148" s="26"/>
    </row>
    <row r="149" spans="1:8">
      <c r="A149">
        <v>2044</v>
      </c>
      <c r="B149" t="s">
        <v>11</v>
      </c>
      <c r="C149" s="26">
        <v>45321861504.089684</v>
      </c>
      <c r="D149" t="b">
        <v>0</v>
      </c>
      <c r="G149" s="26"/>
    </row>
    <row r="150" spans="1:8">
      <c r="A150">
        <v>2045</v>
      </c>
      <c r="B150" t="s">
        <v>11</v>
      </c>
      <c r="C150" s="26">
        <v>47277664363.797333</v>
      </c>
      <c r="D150" t="b">
        <v>0</v>
      </c>
      <c r="G150" s="26"/>
    </row>
    <row r="151" spans="1:8">
      <c r="A151">
        <v>2046</v>
      </c>
      <c r="B151" t="s">
        <v>11</v>
      </c>
      <c r="C151" s="26">
        <v>49273569330.343575</v>
      </c>
      <c r="D151" t="b">
        <v>0</v>
      </c>
      <c r="G151" s="26"/>
    </row>
    <row r="152" spans="1:8">
      <c r="A152">
        <v>2022</v>
      </c>
      <c r="B152" t="s">
        <v>12</v>
      </c>
      <c r="C152" s="26">
        <v>26446796706.866665</v>
      </c>
      <c r="D152" t="b">
        <v>0</v>
      </c>
      <c r="E152" s="15"/>
      <c r="H152" s="26"/>
    </row>
    <row r="153" spans="1:8">
      <c r="A153">
        <v>2023</v>
      </c>
      <c r="B153" t="s">
        <v>12</v>
      </c>
      <c r="C153" s="26">
        <v>25387878902.572182</v>
      </c>
      <c r="D153" t="b">
        <v>0</v>
      </c>
      <c r="E153" s="15"/>
      <c r="H153" s="26"/>
    </row>
    <row r="154" spans="1:8">
      <c r="A154">
        <v>2024</v>
      </c>
      <c r="B154" t="s">
        <v>12</v>
      </c>
      <c r="C154" s="26">
        <v>24217586084.4725</v>
      </c>
      <c r="D154" t="b">
        <v>0</v>
      </c>
      <c r="E154" s="15"/>
      <c r="H154" s="26"/>
    </row>
    <row r="155" spans="1:8">
      <c r="A155">
        <v>2025</v>
      </c>
      <c r="B155" t="s">
        <v>12</v>
      </c>
      <c r="C155" s="26">
        <v>23173402137.802788</v>
      </c>
      <c r="D155" t="b">
        <v>0</v>
      </c>
      <c r="E155" s="15"/>
      <c r="H155" s="26"/>
    </row>
    <row r="156" spans="1:8">
      <c r="A156">
        <v>2026</v>
      </c>
      <c r="B156" t="s">
        <v>12</v>
      </c>
      <c r="C156" s="26">
        <v>22243430577.409222</v>
      </c>
      <c r="D156" t="b">
        <v>0</v>
      </c>
      <c r="E156" s="15"/>
      <c r="H156" s="26"/>
    </row>
    <row r="157" spans="1:8">
      <c r="A157">
        <v>2027</v>
      </c>
      <c r="B157" t="s">
        <v>12</v>
      </c>
      <c r="C157" s="26">
        <v>21219544950.322533</v>
      </c>
      <c r="D157" t="b">
        <v>0</v>
      </c>
      <c r="E157" s="15"/>
      <c r="H157" s="26"/>
    </row>
    <row r="158" spans="1:8">
      <c r="A158">
        <v>2028</v>
      </c>
      <c r="B158" t="s">
        <v>12</v>
      </c>
      <c r="C158" s="26">
        <v>20084182125.379517</v>
      </c>
      <c r="D158" t="b">
        <v>0</v>
      </c>
      <c r="E158" s="15"/>
      <c r="H158" s="26"/>
    </row>
    <row r="159" spans="1:8">
      <c r="A159">
        <v>2029</v>
      </c>
      <c r="B159" t="s">
        <v>12</v>
      </c>
      <c r="C159" s="26">
        <v>19064032225.972595</v>
      </c>
      <c r="D159" t="b">
        <v>0</v>
      </c>
      <c r="E159" s="15"/>
      <c r="H159" s="26"/>
    </row>
    <row r="160" spans="1:8">
      <c r="A160">
        <v>2030</v>
      </c>
      <c r="B160" t="s">
        <v>12</v>
      </c>
      <c r="C160" s="26">
        <v>18113254110.382042</v>
      </c>
      <c r="D160" t="b">
        <v>0</v>
      </c>
      <c r="E160" s="15"/>
      <c r="H160" s="26"/>
    </row>
    <row r="161" spans="1:8">
      <c r="A161">
        <v>2031</v>
      </c>
      <c r="B161" t="s">
        <v>12</v>
      </c>
      <c r="C161" s="26">
        <v>17212267542.642807</v>
      </c>
      <c r="D161" t="b">
        <v>0</v>
      </c>
      <c r="E161" s="15"/>
      <c r="H161" s="26"/>
    </row>
    <row r="162" spans="1:8">
      <c r="A162">
        <v>2032</v>
      </c>
      <c r="B162" t="s">
        <v>12</v>
      </c>
      <c r="C162" s="26">
        <v>16472580562.67985</v>
      </c>
      <c r="D162" t="b">
        <v>0</v>
      </c>
      <c r="E162" s="15"/>
      <c r="H162" s="26"/>
    </row>
    <row r="163" spans="1:8">
      <c r="A163">
        <v>2033</v>
      </c>
      <c r="B163" t="s">
        <v>12</v>
      </c>
      <c r="C163" s="26">
        <v>15679384576.358704</v>
      </c>
      <c r="D163" t="b">
        <v>0</v>
      </c>
      <c r="E163" s="15"/>
      <c r="H163" s="26"/>
    </row>
    <row r="164" spans="1:8">
      <c r="A164">
        <v>2034</v>
      </c>
      <c r="B164" t="s">
        <v>12</v>
      </c>
      <c r="C164" s="26">
        <v>14873644182.873047</v>
      </c>
      <c r="D164" t="b">
        <v>0</v>
      </c>
      <c r="E164" s="15"/>
      <c r="H164" s="26"/>
    </row>
    <row r="165" spans="1:8">
      <c r="A165">
        <v>2035</v>
      </c>
      <c r="B165" t="s">
        <v>12</v>
      </c>
      <c r="C165" s="26">
        <v>14002047133.937931</v>
      </c>
      <c r="D165" t="b">
        <v>0</v>
      </c>
      <c r="E165" s="15"/>
      <c r="H165" s="26"/>
    </row>
    <row r="166" spans="1:8">
      <c r="A166">
        <v>2036</v>
      </c>
      <c r="B166" t="s">
        <v>12</v>
      </c>
      <c r="C166" s="26">
        <v>13059499539.42532</v>
      </c>
      <c r="D166" t="b">
        <v>0</v>
      </c>
      <c r="E166" s="15"/>
      <c r="H166" s="26"/>
    </row>
    <row r="167" spans="1:8">
      <c r="A167">
        <v>2037</v>
      </c>
      <c r="B167" t="s">
        <v>12</v>
      </c>
      <c r="C167" s="26">
        <v>12053260271.807705</v>
      </c>
      <c r="D167" t="b">
        <v>0</v>
      </c>
      <c r="E167" s="15"/>
      <c r="H167" s="26"/>
    </row>
    <row r="168" spans="1:8">
      <c r="A168">
        <v>2038</v>
      </c>
      <c r="B168" t="s">
        <v>12</v>
      </c>
      <c r="C168" s="26">
        <v>10975831925.459063</v>
      </c>
      <c r="D168" t="b">
        <v>0</v>
      </c>
      <c r="E168" s="15"/>
      <c r="H168" s="26"/>
    </row>
    <row r="169" spans="1:8">
      <c r="A169">
        <v>2039</v>
      </c>
      <c r="B169" t="s">
        <v>12</v>
      </c>
      <c r="C169" s="26">
        <v>9823000355.9497757</v>
      </c>
      <c r="D169" t="b">
        <v>0</v>
      </c>
      <c r="E169" s="15"/>
      <c r="H169" s="26"/>
    </row>
    <row r="170" spans="1:8">
      <c r="A170">
        <v>2040</v>
      </c>
      <c r="B170" t="s">
        <v>12</v>
      </c>
      <c r="C170" s="26">
        <v>8723777193.873127</v>
      </c>
      <c r="D170" t="b">
        <v>0</v>
      </c>
      <c r="E170" s="15"/>
      <c r="H170" s="26"/>
    </row>
    <row r="171" spans="1:8">
      <c r="A171">
        <v>2041</v>
      </c>
      <c r="B171" t="s">
        <v>12</v>
      </c>
      <c r="C171" s="26">
        <v>7561469629.0032196</v>
      </c>
      <c r="D171" t="b">
        <v>0</v>
      </c>
      <c r="E171" s="15"/>
      <c r="H171" s="26"/>
    </row>
    <row r="172" spans="1:8">
      <c r="A172">
        <v>2042</v>
      </c>
      <c r="B172" t="s">
        <v>12</v>
      </c>
      <c r="C172" s="26">
        <v>6506538094.4446964</v>
      </c>
      <c r="D172" t="b">
        <v>0</v>
      </c>
      <c r="E172" s="15"/>
      <c r="H172" s="26"/>
    </row>
    <row r="173" spans="1:8">
      <c r="A173">
        <v>2043</v>
      </c>
      <c r="B173" t="s">
        <v>12</v>
      </c>
      <c r="C173" s="26">
        <v>5542493404.190917</v>
      </c>
      <c r="D173" t="b">
        <v>0</v>
      </c>
      <c r="E173" s="15"/>
      <c r="H173" s="26"/>
    </row>
    <row r="174" spans="1:8">
      <c r="A174">
        <v>2044</v>
      </c>
      <c r="B174" t="s">
        <v>12</v>
      </c>
      <c r="C174" s="26">
        <v>4703413363.8535709</v>
      </c>
      <c r="D174" t="b">
        <v>0</v>
      </c>
      <c r="E174" s="15"/>
      <c r="H174" s="26"/>
    </row>
    <row r="175" spans="1:8">
      <c r="A175">
        <v>2045</v>
      </c>
      <c r="B175" t="s">
        <v>12</v>
      </c>
      <c r="C175" s="26">
        <v>3936992893.1405034</v>
      </c>
      <c r="D175" t="b">
        <v>0</v>
      </c>
      <c r="E175" s="15"/>
      <c r="H175" s="26"/>
    </row>
    <row r="176" spans="1:8">
      <c r="A176">
        <v>2046</v>
      </c>
      <c r="B176" t="s">
        <v>12</v>
      </c>
      <c r="C176" s="26">
        <v>3936992894.4288931</v>
      </c>
      <c r="D176" t="b">
        <v>0</v>
      </c>
      <c r="E176" s="15"/>
      <c r="H176" s="26"/>
    </row>
    <row r="177" spans="1:8">
      <c r="A177">
        <v>2050</v>
      </c>
      <c r="B177" t="s">
        <v>13</v>
      </c>
      <c r="C177" s="26">
        <v>0</v>
      </c>
      <c r="D177" t="b">
        <v>1</v>
      </c>
      <c r="E177" s="23"/>
    </row>
    <row r="178" spans="1:8">
      <c r="A178">
        <v>2022</v>
      </c>
      <c r="B178" t="s">
        <v>14</v>
      </c>
      <c r="C178" s="26">
        <v>66805282970.887909</v>
      </c>
      <c r="D178" t="b">
        <v>0</v>
      </c>
      <c r="H178" s="26"/>
    </row>
    <row r="179" spans="1:8">
      <c r="A179">
        <v>2023</v>
      </c>
      <c r="B179" t="s">
        <v>14</v>
      </c>
      <c r="C179" s="26">
        <v>68191432092.625504</v>
      </c>
      <c r="D179" t="b">
        <v>0</v>
      </c>
      <c r="H179" s="26"/>
    </row>
    <row r="180" spans="1:8">
      <c r="A180">
        <v>2024</v>
      </c>
      <c r="B180" t="s">
        <v>14</v>
      </c>
      <c r="C180" s="26">
        <v>68871265321.358704</v>
      </c>
      <c r="D180" t="b">
        <v>0</v>
      </c>
      <c r="H180" s="26"/>
    </row>
    <row r="181" spans="1:8">
      <c r="A181">
        <v>2025</v>
      </c>
      <c r="B181" t="s">
        <v>14</v>
      </c>
      <c r="C181" s="26">
        <v>69176326490.820801</v>
      </c>
      <c r="D181" t="b">
        <v>0</v>
      </c>
      <c r="H181" s="26"/>
    </row>
    <row r="182" spans="1:8">
      <c r="A182">
        <v>2026</v>
      </c>
      <c r="B182" t="s">
        <v>14</v>
      </c>
      <c r="C182" s="26">
        <v>68654498802.893097</v>
      </c>
      <c r="D182" t="b">
        <v>0</v>
      </c>
      <c r="H182" s="26"/>
    </row>
    <row r="183" spans="1:8">
      <c r="A183">
        <v>2027</v>
      </c>
      <c r="B183" t="s">
        <v>14</v>
      </c>
      <c r="C183" s="26">
        <v>67999324291.698303</v>
      </c>
      <c r="D183" t="b">
        <v>0</v>
      </c>
      <c r="H183" s="26"/>
    </row>
    <row r="184" spans="1:8">
      <c r="A184">
        <v>2028</v>
      </c>
      <c r="B184" t="s">
        <v>14</v>
      </c>
      <c r="C184" s="26">
        <v>67172794071.734901</v>
      </c>
      <c r="D184" t="b">
        <v>0</v>
      </c>
      <c r="H184" s="26"/>
    </row>
    <row r="185" spans="1:8">
      <c r="A185">
        <v>2029</v>
      </c>
      <c r="B185" t="s">
        <v>14</v>
      </c>
      <c r="C185" s="26">
        <v>66170354166.347893</v>
      </c>
      <c r="D185" t="b">
        <v>0</v>
      </c>
      <c r="H185" s="26"/>
    </row>
    <row r="186" spans="1:8">
      <c r="A186">
        <v>2030</v>
      </c>
      <c r="B186" t="s">
        <v>14</v>
      </c>
      <c r="C186" s="26">
        <v>65092899269.815903</v>
      </c>
      <c r="D186" t="b">
        <v>0</v>
      </c>
      <c r="H186" s="26"/>
    </row>
    <row r="187" spans="1:8">
      <c r="A187">
        <v>2031</v>
      </c>
      <c r="B187" t="s">
        <v>14</v>
      </c>
      <c r="C187" s="26">
        <v>66209842297.306793</v>
      </c>
      <c r="D187" t="b">
        <v>0</v>
      </c>
      <c r="H187" s="26"/>
    </row>
    <row r="188" spans="1:8">
      <c r="A188">
        <v>2032</v>
      </c>
      <c r="B188" t="s">
        <v>14</v>
      </c>
      <c r="C188" s="26">
        <v>67318675211.63459</v>
      </c>
      <c r="D188" t="b">
        <v>0</v>
      </c>
      <c r="H188" s="26"/>
    </row>
    <row r="189" spans="1:8">
      <c r="A189">
        <v>2033</v>
      </c>
      <c r="B189" t="s">
        <v>14</v>
      </c>
      <c r="C189" s="26">
        <v>68420055190.873009</v>
      </c>
      <c r="D189" t="b">
        <v>0</v>
      </c>
      <c r="H189" s="26"/>
    </row>
    <row r="190" spans="1:8">
      <c r="A190">
        <v>2034</v>
      </c>
      <c r="B190" t="s">
        <v>14</v>
      </c>
      <c r="C190" s="26">
        <v>69513115557.815292</v>
      </c>
      <c r="D190" t="b">
        <v>0</v>
      </c>
      <c r="H190" s="26"/>
    </row>
    <row r="191" spans="1:8">
      <c r="A191">
        <v>2035</v>
      </c>
      <c r="B191" t="s">
        <v>14</v>
      </c>
      <c r="C191" s="26">
        <v>70596942904.645401</v>
      </c>
      <c r="D191" t="b">
        <v>0</v>
      </c>
      <c r="F191" s="17"/>
      <c r="H191" s="26"/>
    </row>
    <row r="192" spans="1:8">
      <c r="A192">
        <v>2036</v>
      </c>
      <c r="B192" t="s">
        <v>14</v>
      </c>
      <c r="C192" s="26">
        <v>71671925063.017197</v>
      </c>
      <c r="D192" t="b">
        <v>0</v>
      </c>
      <c r="H192" s="26"/>
    </row>
    <row r="193" spans="1:8">
      <c r="A193">
        <v>2037</v>
      </c>
      <c r="B193" t="s">
        <v>14</v>
      </c>
      <c r="C193" s="26">
        <v>72739338311.483292</v>
      </c>
      <c r="D193" t="b">
        <v>0</v>
      </c>
      <c r="H193" s="26"/>
    </row>
    <row r="194" spans="1:8">
      <c r="A194">
        <v>2038</v>
      </c>
      <c r="B194" t="s">
        <v>14</v>
      </c>
      <c r="C194" s="26">
        <v>73797275517.503601</v>
      </c>
      <c r="D194" t="b">
        <v>0</v>
      </c>
      <c r="H194" s="26"/>
    </row>
    <row r="195" spans="1:8">
      <c r="A195">
        <v>2039</v>
      </c>
      <c r="B195" t="s">
        <v>14</v>
      </c>
      <c r="C195" s="26">
        <v>74842795656.952087</v>
      </c>
      <c r="D195" t="b">
        <v>0</v>
      </c>
      <c r="H195" s="26"/>
    </row>
    <row r="196" spans="1:8">
      <c r="A196">
        <v>2040</v>
      </c>
      <c r="B196" t="s">
        <v>14</v>
      </c>
      <c r="C196" s="26">
        <v>75880025866.570801</v>
      </c>
      <c r="D196" t="b">
        <v>0</v>
      </c>
      <c r="H196" s="26"/>
    </row>
    <row r="197" spans="1:8">
      <c r="A197">
        <v>2041</v>
      </c>
      <c r="B197" t="s">
        <v>14</v>
      </c>
      <c r="C197" s="26">
        <v>76906080800.526306</v>
      </c>
      <c r="D197" t="b">
        <v>0</v>
      </c>
      <c r="H197" s="26"/>
    </row>
    <row r="198" spans="1:8">
      <c r="A198">
        <v>2042</v>
      </c>
      <c r="B198" t="s">
        <v>14</v>
      </c>
      <c r="C198" s="26">
        <v>77923203919.239594</v>
      </c>
      <c r="D198" t="b">
        <v>0</v>
      </c>
      <c r="H198" s="26"/>
    </row>
    <row r="199" spans="1:8">
      <c r="A199">
        <v>2043</v>
      </c>
      <c r="B199" t="s">
        <v>14</v>
      </c>
      <c r="C199" s="26">
        <v>78929899287.045212</v>
      </c>
      <c r="D199" t="b">
        <v>0</v>
      </c>
      <c r="H199" s="26"/>
    </row>
    <row r="200" spans="1:8">
      <c r="A200">
        <v>2044</v>
      </c>
      <c r="B200" t="s">
        <v>14</v>
      </c>
      <c r="C200" s="26">
        <v>79926971857.971497</v>
      </c>
      <c r="D200" t="b">
        <v>0</v>
      </c>
      <c r="H200" s="26"/>
    </row>
    <row r="201" spans="1:8">
      <c r="A201">
        <v>2045</v>
      </c>
      <c r="B201" t="s">
        <v>14</v>
      </c>
      <c r="C201" s="26">
        <v>80914370411.564102</v>
      </c>
      <c r="D201" t="b">
        <v>0</v>
      </c>
      <c r="H201" s="26"/>
    </row>
    <row r="202" spans="1:8">
      <c r="A202">
        <v>2046</v>
      </c>
      <c r="B202" t="s">
        <v>14</v>
      </c>
      <c r="C202" s="26">
        <v>81926209403.511597</v>
      </c>
      <c r="D202" t="b">
        <v>0</v>
      </c>
      <c r="H202" s="26"/>
    </row>
    <row r="203" spans="1:8">
      <c r="A203">
        <v>2022</v>
      </c>
      <c r="B203" t="s">
        <v>15</v>
      </c>
      <c r="C203" s="26">
        <v>0</v>
      </c>
      <c r="D203" t="b">
        <v>1</v>
      </c>
    </row>
    <row r="204" spans="1:8">
      <c r="A204" s="24"/>
      <c r="B204" s="25"/>
      <c r="D204" s="24"/>
    </row>
    <row r="205" spans="1:8">
      <c r="A205" s="24"/>
      <c r="B205" s="25"/>
      <c r="D205" s="24"/>
    </row>
    <row r="206" spans="1:8">
      <c r="A206" s="24"/>
      <c r="B206" s="25"/>
      <c r="D206" s="24"/>
    </row>
    <row r="207" spans="1:8">
      <c r="A207" s="24"/>
      <c r="B207" s="25"/>
      <c r="D207" s="24"/>
    </row>
    <row r="208" spans="1:8">
      <c r="A208" s="24"/>
      <c r="B208" s="25"/>
      <c r="D208" s="24"/>
    </row>
    <row r="209" spans="1:4">
      <c r="A209" s="24"/>
      <c r="B209" s="25"/>
      <c r="D209" s="24"/>
    </row>
    <row r="210" spans="1:4">
      <c r="A210" s="24"/>
      <c r="B210" s="25"/>
      <c r="D210" s="24"/>
    </row>
    <row r="211" spans="1:4">
      <c r="A211" s="24"/>
      <c r="B211" s="25"/>
      <c r="D211" s="24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98"/>
  <sheetViews>
    <sheetView topLeftCell="A80" workbookViewId="0">
      <selection activeCell="D105" sqref="D105"/>
    </sheetView>
  </sheetViews>
  <sheetFormatPr defaultRowHeight="14.4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40</v>
      </c>
      <c r="C1" s="37" t="s">
        <v>255</v>
      </c>
      <c r="D1" s="4" t="s">
        <v>28</v>
      </c>
    </row>
    <row r="2" spans="1:14">
      <c r="A2">
        <v>2022</v>
      </c>
      <c r="B2" t="s">
        <v>155</v>
      </c>
      <c r="C2" s="38">
        <v>968402.4</v>
      </c>
      <c r="D2" t="s">
        <v>256</v>
      </c>
    </row>
    <row r="3" spans="1:14">
      <c r="A3">
        <v>2023</v>
      </c>
      <c r="B3" t="s">
        <v>155</v>
      </c>
      <c r="C3" s="38">
        <v>1070138.6000000001</v>
      </c>
      <c r="D3" t="s">
        <v>256</v>
      </c>
    </row>
    <row r="4" spans="1:14">
      <c r="A4">
        <v>2024</v>
      </c>
      <c r="B4" t="s">
        <v>155</v>
      </c>
      <c r="C4" s="38">
        <v>1129496.8</v>
      </c>
      <c r="D4" t="s">
        <v>256</v>
      </c>
    </row>
    <row r="5" spans="1:14">
      <c r="A5">
        <v>2025</v>
      </c>
      <c r="B5" t="s">
        <v>155</v>
      </c>
      <c r="C5" s="38">
        <v>1616423.05</v>
      </c>
      <c r="D5" t="s">
        <v>256</v>
      </c>
      <c r="J5" s="5"/>
    </row>
    <row r="6" spans="1:14">
      <c r="A6">
        <v>2026</v>
      </c>
      <c r="B6" t="s">
        <v>155</v>
      </c>
      <c r="C6" s="38">
        <v>1744357.85</v>
      </c>
      <c r="D6" t="s">
        <v>256</v>
      </c>
      <c r="J6" s="5"/>
      <c r="L6" s="5"/>
      <c r="N6" s="5"/>
    </row>
    <row r="7" spans="1:14">
      <c r="A7">
        <v>2027</v>
      </c>
      <c r="B7" t="s">
        <v>155</v>
      </c>
      <c r="C7" s="38">
        <v>1854460.2000000002</v>
      </c>
      <c r="D7" t="s">
        <v>256</v>
      </c>
      <c r="J7" s="5"/>
    </row>
    <row r="8" spans="1:14">
      <c r="A8">
        <v>2028</v>
      </c>
      <c r="B8" t="s">
        <v>155</v>
      </c>
      <c r="C8" s="38">
        <v>1961981.1500000001</v>
      </c>
      <c r="D8" t="s">
        <v>256</v>
      </c>
      <c r="J8" s="5"/>
    </row>
    <row r="9" spans="1:14">
      <c r="A9">
        <v>2029</v>
      </c>
      <c r="B9" t="s">
        <v>155</v>
      </c>
      <c r="C9" s="38">
        <v>2029637.1</v>
      </c>
      <c r="D9" t="s">
        <v>256</v>
      </c>
      <c r="J9" s="5"/>
    </row>
    <row r="10" spans="1:14">
      <c r="A10">
        <v>2030</v>
      </c>
      <c r="B10" t="s">
        <v>155</v>
      </c>
      <c r="C10" s="38">
        <v>2128383.0500000003</v>
      </c>
      <c r="D10" t="s">
        <v>256</v>
      </c>
      <c r="J10" s="5"/>
    </row>
    <row r="11" spans="1:14">
      <c r="A11">
        <v>2031</v>
      </c>
      <c r="B11" t="s">
        <v>155</v>
      </c>
      <c r="C11" s="38">
        <v>1125564.6000000001</v>
      </c>
      <c r="D11" t="s">
        <v>257</v>
      </c>
      <c r="J11" s="5"/>
    </row>
    <row r="12" spans="1:14">
      <c r="A12">
        <v>2032</v>
      </c>
      <c r="B12" t="s">
        <v>155</v>
      </c>
      <c r="C12" s="38">
        <v>1190463.45</v>
      </c>
      <c r="D12" t="s">
        <v>257</v>
      </c>
      <c r="J12" s="5"/>
    </row>
    <row r="13" spans="1:14">
      <c r="A13">
        <v>2033</v>
      </c>
      <c r="B13" t="s">
        <v>155</v>
      </c>
      <c r="C13" s="38">
        <v>1238604.2250000001</v>
      </c>
      <c r="D13" t="s">
        <v>257</v>
      </c>
      <c r="J13" s="5"/>
    </row>
    <row r="14" spans="1:14">
      <c r="A14">
        <v>2034</v>
      </c>
      <c r="B14" t="s">
        <v>155</v>
      </c>
      <c r="C14" s="38">
        <v>1270766</v>
      </c>
      <c r="D14" t="s">
        <v>257</v>
      </c>
      <c r="J14" s="5"/>
    </row>
    <row r="15" spans="1:14">
      <c r="A15">
        <v>2035</v>
      </c>
      <c r="B15" t="s">
        <v>155</v>
      </c>
      <c r="C15" s="38">
        <v>1290805</v>
      </c>
      <c r="D15" t="s">
        <v>257</v>
      </c>
      <c r="J15" s="5"/>
    </row>
    <row r="16" spans="1:14">
      <c r="A16">
        <v>2036</v>
      </c>
      <c r="B16" t="s">
        <v>155</v>
      </c>
      <c r="C16" s="38">
        <v>1302114.9750000001</v>
      </c>
      <c r="D16" t="s">
        <v>257</v>
      </c>
      <c r="J16" s="5"/>
    </row>
    <row r="17" spans="1:10">
      <c r="A17">
        <v>2037</v>
      </c>
      <c r="B17" t="s">
        <v>155</v>
      </c>
      <c r="C17" s="38">
        <v>1285568.4750000001</v>
      </c>
      <c r="D17" t="s">
        <v>257</v>
      </c>
      <c r="J17" s="5"/>
    </row>
    <row r="18" spans="1:10">
      <c r="A18">
        <v>2038</v>
      </c>
      <c r="B18" t="s">
        <v>155</v>
      </c>
      <c r="C18" s="38">
        <v>1253657.3500000001</v>
      </c>
      <c r="D18" t="s">
        <v>257</v>
      </c>
      <c r="J18" s="5"/>
    </row>
    <row r="19" spans="1:10">
      <c r="A19">
        <v>2039</v>
      </c>
      <c r="B19" t="s">
        <v>155</v>
      </c>
      <c r="C19" s="38">
        <v>1225880.5</v>
      </c>
      <c r="D19" t="s">
        <v>257</v>
      </c>
      <c r="J19" s="5"/>
    </row>
    <row r="20" spans="1:10">
      <c r="A20">
        <v>2040</v>
      </c>
      <c r="B20" t="s">
        <v>155</v>
      </c>
      <c r="C20" s="5">
        <v>0</v>
      </c>
      <c r="J20" s="5"/>
    </row>
    <row r="21" spans="1:10">
      <c r="A21">
        <v>2041</v>
      </c>
      <c r="B21" t="s">
        <v>155</v>
      </c>
      <c r="C21" s="5">
        <v>0</v>
      </c>
      <c r="J21" s="5"/>
    </row>
    <row r="22" spans="1:10">
      <c r="A22">
        <v>2042</v>
      </c>
      <c r="B22" t="s">
        <v>155</v>
      </c>
      <c r="C22" s="5">
        <v>0</v>
      </c>
      <c r="J22" s="5"/>
    </row>
    <row r="23" spans="1:10">
      <c r="A23">
        <v>2043</v>
      </c>
      <c r="B23" t="s">
        <v>155</v>
      </c>
      <c r="C23" s="5">
        <v>0</v>
      </c>
      <c r="J23" s="5"/>
    </row>
    <row r="24" spans="1:10">
      <c r="A24">
        <v>2044</v>
      </c>
      <c r="B24" t="s">
        <v>155</v>
      </c>
      <c r="C24" s="5">
        <v>0</v>
      </c>
      <c r="J24" s="5"/>
    </row>
    <row r="25" spans="1:10">
      <c r="A25">
        <v>2045</v>
      </c>
      <c r="B25" t="s">
        <v>155</v>
      </c>
      <c r="C25" s="5">
        <v>0</v>
      </c>
      <c r="J25" s="5"/>
    </row>
    <row r="26" spans="1:10">
      <c r="A26">
        <v>2046</v>
      </c>
      <c r="B26" t="s">
        <v>155</v>
      </c>
      <c r="C26" s="5">
        <v>0</v>
      </c>
      <c r="J26" s="5"/>
    </row>
    <row r="27" spans="1:10">
      <c r="A27">
        <v>2022</v>
      </c>
      <c r="B27" t="s">
        <v>168</v>
      </c>
      <c r="C27" s="5">
        <v>0</v>
      </c>
      <c r="J27" s="5"/>
    </row>
    <row r="28" spans="1:10">
      <c r="A28">
        <v>2023</v>
      </c>
      <c r="B28" t="s">
        <v>168</v>
      </c>
      <c r="C28" s="5">
        <v>0</v>
      </c>
      <c r="J28" s="5"/>
    </row>
    <row r="29" spans="1:10">
      <c r="A29">
        <v>2024</v>
      </c>
      <c r="B29" t="s">
        <v>168</v>
      </c>
      <c r="C29" s="5">
        <v>0</v>
      </c>
      <c r="J29" s="5"/>
    </row>
    <row r="30" spans="1:10">
      <c r="A30">
        <v>2025</v>
      </c>
      <c r="B30" t="s">
        <v>168</v>
      </c>
      <c r="C30" s="5">
        <v>0</v>
      </c>
    </row>
    <row r="31" spans="1:10">
      <c r="A31">
        <v>2026</v>
      </c>
      <c r="B31" t="s">
        <v>168</v>
      </c>
      <c r="C31" s="5">
        <v>0</v>
      </c>
    </row>
    <row r="32" spans="1:10">
      <c r="A32">
        <v>2027</v>
      </c>
      <c r="B32" t="s">
        <v>168</v>
      </c>
      <c r="C32" s="5">
        <v>0</v>
      </c>
    </row>
    <row r="33" spans="1:18">
      <c r="A33">
        <v>2028</v>
      </c>
      <c r="B33" t="s">
        <v>168</v>
      </c>
      <c r="C33" s="5">
        <v>0</v>
      </c>
    </row>
    <row r="34" spans="1:18">
      <c r="A34">
        <v>2029</v>
      </c>
      <c r="B34" t="s">
        <v>168</v>
      </c>
      <c r="C34" s="5">
        <v>0</v>
      </c>
    </row>
    <row r="35" spans="1:18">
      <c r="A35">
        <v>2030</v>
      </c>
      <c r="B35" t="s">
        <v>168</v>
      </c>
      <c r="C35" s="5">
        <v>0</v>
      </c>
    </row>
    <row r="36" spans="1:18">
      <c r="A36">
        <v>2031</v>
      </c>
      <c r="B36" t="s">
        <v>168</v>
      </c>
      <c r="C36" s="5">
        <v>1125564.6000000001</v>
      </c>
      <c r="D36" t="s">
        <v>258</v>
      </c>
    </row>
    <row r="37" spans="1:18">
      <c r="A37">
        <v>2032</v>
      </c>
      <c r="B37" t="s">
        <v>168</v>
      </c>
      <c r="C37" s="5">
        <v>1190463.45</v>
      </c>
      <c r="D37" t="s">
        <v>258</v>
      </c>
    </row>
    <row r="38" spans="1:18">
      <c r="A38">
        <v>2033</v>
      </c>
      <c r="B38" t="s">
        <v>168</v>
      </c>
      <c r="C38" s="5">
        <v>1238604.2250000001</v>
      </c>
      <c r="D38" t="s">
        <v>258</v>
      </c>
    </row>
    <row r="39" spans="1:18">
      <c r="A39">
        <v>2034</v>
      </c>
      <c r="B39" t="s">
        <v>168</v>
      </c>
      <c r="C39" s="5">
        <v>1270766</v>
      </c>
      <c r="D39" t="s">
        <v>258</v>
      </c>
    </row>
    <row r="40" spans="1:18" ht="40.9" customHeight="1">
      <c r="A40">
        <v>2035</v>
      </c>
      <c r="B40" t="s">
        <v>168</v>
      </c>
      <c r="C40" s="5">
        <v>1290805</v>
      </c>
      <c r="D40" t="s">
        <v>258</v>
      </c>
      <c r="N40" s="34"/>
      <c r="O40" s="34"/>
      <c r="P40" s="34"/>
      <c r="Q40" s="34"/>
    </row>
    <row r="41" spans="1:18">
      <c r="A41">
        <v>2036</v>
      </c>
      <c r="B41" t="s">
        <v>168</v>
      </c>
      <c r="C41" s="5">
        <v>1302114.9750000001</v>
      </c>
      <c r="D41" t="s">
        <v>258</v>
      </c>
      <c r="N41" s="5"/>
      <c r="O41" s="32"/>
      <c r="P41" s="5"/>
      <c r="Q41" s="5"/>
      <c r="R41" s="5"/>
    </row>
    <row r="42" spans="1:18">
      <c r="A42">
        <v>2037</v>
      </c>
      <c r="B42" t="s">
        <v>168</v>
      </c>
      <c r="C42" s="5">
        <v>1285568.4750000001</v>
      </c>
      <c r="D42" t="s">
        <v>258</v>
      </c>
      <c r="N42" s="5"/>
      <c r="O42" s="32"/>
      <c r="P42" s="5"/>
      <c r="Q42" s="5"/>
      <c r="R42" s="5"/>
    </row>
    <row r="43" spans="1:18">
      <c r="A43">
        <v>2038</v>
      </c>
      <c r="B43" t="s">
        <v>168</v>
      </c>
      <c r="C43" s="5">
        <v>1253657.3500000001</v>
      </c>
      <c r="D43" t="s">
        <v>258</v>
      </c>
      <c r="N43" s="5"/>
      <c r="O43" s="32"/>
      <c r="P43" s="5"/>
      <c r="Q43" s="5"/>
      <c r="R43" s="5"/>
    </row>
    <row r="44" spans="1:18">
      <c r="A44">
        <v>2039</v>
      </c>
      <c r="B44" t="s">
        <v>168</v>
      </c>
      <c r="C44" s="5">
        <v>1225880.5</v>
      </c>
      <c r="D44" t="s">
        <v>258</v>
      </c>
      <c r="N44" s="5"/>
      <c r="O44" s="32"/>
      <c r="P44" s="5"/>
      <c r="Q44" s="5"/>
      <c r="R44" s="5"/>
    </row>
    <row r="45" spans="1:18">
      <c r="A45">
        <v>2040</v>
      </c>
      <c r="B45" t="s">
        <v>168</v>
      </c>
      <c r="C45" s="5">
        <v>2441032.75</v>
      </c>
      <c r="D45" t="s">
        <v>256</v>
      </c>
      <c r="N45" s="5"/>
      <c r="O45" s="32"/>
      <c r="P45" s="5"/>
      <c r="Q45" s="5"/>
      <c r="R45" s="5"/>
    </row>
    <row r="46" spans="1:18">
      <c r="A46">
        <v>2041</v>
      </c>
      <c r="B46" t="s">
        <v>168</v>
      </c>
      <c r="C46" s="5">
        <v>2343886.85</v>
      </c>
      <c r="D46" t="s">
        <v>256</v>
      </c>
      <c r="N46" s="5"/>
      <c r="O46" s="32"/>
      <c r="P46" s="5"/>
      <c r="Q46" s="5"/>
      <c r="R46" s="5"/>
    </row>
    <row r="47" spans="1:18">
      <c r="A47">
        <v>2042</v>
      </c>
      <c r="B47" t="s">
        <v>168</v>
      </c>
      <c r="C47" s="5">
        <v>2308508.3000000003</v>
      </c>
      <c r="D47" t="s">
        <v>256</v>
      </c>
      <c r="N47" s="5"/>
      <c r="O47" s="32"/>
      <c r="P47" s="5"/>
      <c r="Q47" s="5"/>
      <c r="R47" s="5"/>
    </row>
    <row r="48" spans="1:18">
      <c r="A48">
        <v>2043</v>
      </c>
      <c r="B48" t="s">
        <v>168</v>
      </c>
      <c r="C48" s="5">
        <v>2231449.85</v>
      </c>
      <c r="D48" t="s">
        <v>256</v>
      </c>
      <c r="N48" s="5"/>
      <c r="O48" s="32"/>
      <c r="P48" s="5"/>
      <c r="Q48" s="5"/>
      <c r="R48" s="5"/>
    </row>
    <row r="49" spans="1:18">
      <c r="A49">
        <v>2044</v>
      </c>
      <c r="B49" t="s">
        <v>168</v>
      </c>
      <c r="C49" s="5">
        <v>2160322.0500000003</v>
      </c>
      <c r="D49" t="s">
        <v>256</v>
      </c>
      <c r="N49" s="5"/>
      <c r="O49" s="32"/>
      <c r="P49" s="5"/>
      <c r="Q49" s="5"/>
      <c r="R49" s="5"/>
    </row>
    <row r="50" spans="1:18">
      <c r="A50">
        <v>2045</v>
      </c>
      <c r="B50" t="s">
        <v>168</v>
      </c>
      <c r="C50" s="5">
        <v>2203968.25</v>
      </c>
      <c r="D50" t="s">
        <v>256</v>
      </c>
      <c r="N50" s="5"/>
      <c r="O50" s="32"/>
      <c r="P50" s="5"/>
      <c r="Q50" s="5"/>
      <c r="R50" s="5"/>
    </row>
    <row r="51" spans="1:18">
      <c r="A51">
        <v>2046</v>
      </c>
      <c r="B51" t="s">
        <v>168</v>
      </c>
      <c r="C51" s="5">
        <v>2058284.3</v>
      </c>
      <c r="D51" t="s">
        <v>256</v>
      </c>
      <c r="N51" s="5"/>
      <c r="O51" s="32"/>
      <c r="P51" s="5"/>
      <c r="Q51" s="5"/>
      <c r="R51" s="5"/>
    </row>
    <row r="52" spans="1:18">
      <c r="A52">
        <v>2022</v>
      </c>
      <c r="B52" t="s">
        <v>151</v>
      </c>
      <c r="C52">
        <f>C53</f>
        <v>-3200</v>
      </c>
      <c r="D52" t="s">
        <v>259</v>
      </c>
      <c r="N52" s="5"/>
      <c r="O52" s="32"/>
      <c r="P52" s="5"/>
      <c r="Q52" s="5"/>
      <c r="R52" s="5"/>
    </row>
    <row r="53" spans="1:18">
      <c r="A53">
        <v>2023</v>
      </c>
      <c r="B53" t="s">
        <v>151</v>
      </c>
      <c r="C53">
        <f>-3200</f>
        <v>-3200</v>
      </c>
      <c r="D53" t="s">
        <v>259</v>
      </c>
      <c r="N53" s="5"/>
      <c r="O53" s="32"/>
      <c r="P53" s="5"/>
      <c r="Q53" s="5"/>
      <c r="R53" s="5"/>
    </row>
    <row r="54" spans="1:18">
      <c r="A54">
        <v>2024</v>
      </c>
      <c r="B54" t="s">
        <v>151</v>
      </c>
      <c r="C54">
        <f t="shared" ref="C54:C76" si="0">-3200</f>
        <v>-3200</v>
      </c>
      <c r="D54" t="s">
        <v>259</v>
      </c>
      <c r="N54" s="5"/>
      <c r="O54" s="32"/>
      <c r="P54" s="5"/>
      <c r="Q54" s="5"/>
      <c r="R54" s="5"/>
    </row>
    <row r="55" spans="1:18">
      <c r="A55">
        <v>2025</v>
      </c>
      <c r="B55" t="s">
        <v>151</v>
      </c>
      <c r="C55">
        <f t="shared" si="0"/>
        <v>-3200</v>
      </c>
      <c r="D55" t="s">
        <v>259</v>
      </c>
      <c r="N55" s="5"/>
      <c r="O55" s="32"/>
      <c r="P55" s="5"/>
      <c r="Q55" s="5"/>
      <c r="R55" s="5"/>
    </row>
    <row r="56" spans="1:18">
      <c r="A56">
        <v>2026</v>
      </c>
      <c r="B56" t="s">
        <v>151</v>
      </c>
      <c r="C56">
        <f t="shared" si="0"/>
        <v>-3200</v>
      </c>
      <c r="D56" t="s">
        <v>259</v>
      </c>
      <c r="N56" s="5"/>
      <c r="O56" s="32"/>
      <c r="P56" s="5"/>
      <c r="Q56" s="5"/>
      <c r="R56" s="5"/>
    </row>
    <row r="57" spans="1:18">
      <c r="A57">
        <v>2027</v>
      </c>
      <c r="B57" t="s">
        <v>151</v>
      </c>
      <c r="C57">
        <f t="shared" si="0"/>
        <v>-3200</v>
      </c>
      <c r="D57" t="s">
        <v>259</v>
      </c>
      <c r="N57" s="5"/>
      <c r="O57" s="32"/>
      <c r="P57" s="5"/>
      <c r="Q57" s="5"/>
      <c r="R57" s="5"/>
    </row>
    <row r="58" spans="1:18">
      <c r="A58">
        <v>2028</v>
      </c>
      <c r="B58" t="s">
        <v>151</v>
      </c>
      <c r="C58">
        <f t="shared" si="0"/>
        <v>-3200</v>
      </c>
      <c r="D58" t="s">
        <v>259</v>
      </c>
      <c r="N58" s="5"/>
      <c r="O58" s="32"/>
      <c r="P58" s="5"/>
      <c r="Q58" s="5"/>
      <c r="R58" s="5"/>
    </row>
    <row r="59" spans="1:18">
      <c r="A59">
        <v>2029</v>
      </c>
      <c r="B59" t="s">
        <v>151</v>
      </c>
      <c r="C59">
        <f t="shared" si="0"/>
        <v>-3200</v>
      </c>
      <c r="D59" t="s">
        <v>259</v>
      </c>
      <c r="N59" s="5"/>
      <c r="O59" s="32"/>
      <c r="P59" s="5"/>
      <c r="Q59" s="5"/>
      <c r="R59" s="5"/>
    </row>
    <row r="60" spans="1:18">
      <c r="A60">
        <v>2030</v>
      </c>
      <c r="B60" t="s">
        <v>151</v>
      </c>
      <c r="C60">
        <f t="shared" si="0"/>
        <v>-3200</v>
      </c>
      <c r="D60" t="s">
        <v>259</v>
      </c>
      <c r="N60" s="5"/>
      <c r="O60" s="32"/>
      <c r="P60" s="5"/>
      <c r="Q60" s="5"/>
      <c r="R60" s="5"/>
    </row>
    <row r="61" spans="1:18">
      <c r="A61">
        <v>2031</v>
      </c>
      <c r="B61" t="s">
        <v>151</v>
      </c>
      <c r="C61">
        <f t="shared" si="0"/>
        <v>-3200</v>
      </c>
      <c r="D61" t="s">
        <v>259</v>
      </c>
      <c r="N61" s="5"/>
      <c r="O61" s="32"/>
      <c r="P61" s="5"/>
      <c r="Q61" s="5"/>
      <c r="R61" s="5"/>
    </row>
    <row r="62" spans="1:18">
      <c r="A62">
        <v>2032</v>
      </c>
      <c r="B62" t="s">
        <v>151</v>
      </c>
      <c r="C62">
        <f t="shared" si="0"/>
        <v>-3200</v>
      </c>
      <c r="D62" t="s">
        <v>259</v>
      </c>
      <c r="N62" s="5"/>
      <c r="O62" s="32"/>
      <c r="P62" s="5"/>
      <c r="Q62" s="5"/>
      <c r="R62" s="5"/>
    </row>
    <row r="63" spans="1:18">
      <c r="A63">
        <v>2033</v>
      </c>
      <c r="B63" t="s">
        <v>151</v>
      </c>
      <c r="C63">
        <f t="shared" si="0"/>
        <v>-3200</v>
      </c>
      <c r="D63" t="s">
        <v>259</v>
      </c>
      <c r="N63" s="5"/>
      <c r="O63" s="32"/>
      <c r="P63" s="5"/>
      <c r="Q63" s="5"/>
      <c r="R63" s="5"/>
    </row>
    <row r="64" spans="1:18">
      <c r="A64">
        <v>2034</v>
      </c>
      <c r="B64" t="s">
        <v>151</v>
      </c>
      <c r="C64">
        <f t="shared" si="0"/>
        <v>-3200</v>
      </c>
      <c r="D64" t="s">
        <v>259</v>
      </c>
      <c r="N64" s="5"/>
      <c r="O64" s="32"/>
      <c r="P64" s="5"/>
      <c r="Q64" s="5"/>
      <c r="R64" s="5"/>
    </row>
    <row r="65" spans="1:18">
      <c r="A65">
        <v>2035</v>
      </c>
      <c r="B65" t="s">
        <v>151</v>
      </c>
      <c r="C65">
        <f t="shared" si="0"/>
        <v>-3200</v>
      </c>
      <c r="D65" t="s">
        <v>259</v>
      </c>
      <c r="N65" s="5"/>
      <c r="O65" s="32"/>
      <c r="P65" s="5"/>
      <c r="Q65" s="5"/>
      <c r="R65" s="5"/>
    </row>
    <row r="66" spans="1:18">
      <c r="A66">
        <v>2036</v>
      </c>
      <c r="B66" t="s">
        <v>151</v>
      </c>
      <c r="C66">
        <f t="shared" si="0"/>
        <v>-3200</v>
      </c>
      <c r="D66" t="s">
        <v>259</v>
      </c>
    </row>
    <row r="67" spans="1:18">
      <c r="A67">
        <v>2037</v>
      </c>
      <c r="B67" t="s">
        <v>151</v>
      </c>
      <c r="C67">
        <f t="shared" si="0"/>
        <v>-3200</v>
      </c>
      <c r="D67" t="s">
        <v>259</v>
      </c>
    </row>
    <row r="68" spans="1:18">
      <c r="A68">
        <v>2038</v>
      </c>
      <c r="B68" t="s">
        <v>151</v>
      </c>
      <c r="C68">
        <f t="shared" si="0"/>
        <v>-3200</v>
      </c>
      <c r="D68" t="s">
        <v>259</v>
      </c>
    </row>
    <row r="69" spans="1:18">
      <c r="A69">
        <v>2039</v>
      </c>
      <c r="B69" t="s">
        <v>151</v>
      </c>
      <c r="C69">
        <f t="shared" si="0"/>
        <v>-3200</v>
      </c>
      <c r="D69" t="s">
        <v>259</v>
      </c>
    </row>
    <row r="70" spans="1:18">
      <c r="A70">
        <v>2040</v>
      </c>
      <c r="B70" t="s">
        <v>151</v>
      </c>
      <c r="C70">
        <f t="shared" si="0"/>
        <v>-3200</v>
      </c>
      <c r="D70" t="s">
        <v>259</v>
      </c>
    </row>
    <row r="71" spans="1:18">
      <c r="A71">
        <v>2041</v>
      </c>
      <c r="B71" t="s">
        <v>151</v>
      </c>
      <c r="C71">
        <f t="shared" si="0"/>
        <v>-3200</v>
      </c>
      <c r="D71" t="s">
        <v>259</v>
      </c>
    </row>
    <row r="72" spans="1:18">
      <c r="A72">
        <v>2042</v>
      </c>
      <c r="B72" t="s">
        <v>151</v>
      </c>
      <c r="C72">
        <f t="shared" si="0"/>
        <v>-3200</v>
      </c>
    </row>
    <row r="73" spans="1:18">
      <c r="A73">
        <v>2043</v>
      </c>
      <c r="B73" t="s">
        <v>151</v>
      </c>
      <c r="C73">
        <f t="shared" si="0"/>
        <v>-3200</v>
      </c>
    </row>
    <row r="74" spans="1:18">
      <c r="A74">
        <v>2044</v>
      </c>
      <c r="B74" t="s">
        <v>151</v>
      </c>
      <c r="C74">
        <f t="shared" si="0"/>
        <v>-3200</v>
      </c>
    </row>
    <row r="75" spans="1:18">
      <c r="A75">
        <v>2045</v>
      </c>
      <c r="B75" t="s">
        <v>151</v>
      </c>
      <c r="C75">
        <f t="shared" si="0"/>
        <v>-3200</v>
      </c>
    </row>
    <row r="76" spans="1:18">
      <c r="A76">
        <v>2046</v>
      </c>
      <c r="B76" t="s">
        <v>151</v>
      </c>
      <c r="C76">
        <f t="shared" si="0"/>
        <v>-3200</v>
      </c>
    </row>
    <row r="77" spans="1:18">
      <c r="A77">
        <v>2022</v>
      </c>
      <c r="B77" t="s">
        <v>120</v>
      </c>
      <c r="C77" s="5">
        <v>248771.8940000002</v>
      </c>
      <c r="D77" t="s">
        <v>260</v>
      </c>
    </row>
    <row r="78" spans="1:18">
      <c r="A78">
        <v>2023</v>
      </c>
      <c r="B78" t="s">
        <v>120</v>
      </c>
      <c r="C78" s="5">
        <v>255779.98400000003</v>
      </c>
    </row>
    <row r="79" spans="1:18">
      <c r="A79">
        <v>2024</v>
      </c>
      <c r="B79" t="s">
        <v>120</v>
      </c>
      <c r="C79" s="5">
        <v>260853.53350000011</v>
      </c>
    </row>
    <row r="80" spans="1:18">
      <c r="A80">
        <v>2025</v>
      </c>
      <c r="B80" t="s">
        <v>120</v>
      </c>
      <c r="C80" s="5">
        <v>277814.13740205963</v>
      </c>
    </row>
    <row r="81" spans="1:3">
      <c r="A81">
        <v>2026</v>
      </c>
      <c r="B81" t="s">
        <v>120</v>
      </c>
      <c r="C81" s="5">
        <v>293846.2067159774</v>
      </c>
    </row>
    <row r="82" spans="1:3">
      <c r="A82">
        <v>2027</v>
      </c>
      <c r="B82" t="s">
        <v>120</v>
      </c>
      <c r="C82" s="5">
        <v>306294.19522989524</v>
      </c>
    </row>
    <row r="83" spans="1:3">
      <c r="A83">
        <v>2028</v>
      </c>
      <c r="B83" t="s">
        <v>120</v>
      </c>
      <c r="C83" s="5">
        <v>315158.1029438132</v>
      </c>
    </row>
    <row r="84" spans="1:3">
      <c r="A84">
        <v>2029</v>
      </c>
      <c r="B84" t="s">
        <v>120</v>
      </c>
      <c r="C84" s="5">
        <v>320437.92985773116</v>
      </c>
    </row>
    <row r="85" spans="1:3">
      <c r="A85">
        <v>2030</v>
      </c>
      <c r="B85" t="s">
        <v>120</v>
      </c>
      <c r="C85" s="5">
        <v>328368.80059664941</v>
      </c>
    </row>
    <row r="86" spans="1:3">
      <c r="A86">
        <v>2031</v>
      </c>
      <c r="B86" t="s">
        <v>120</v>
      </c>
      <c r="C86" s="5">
        <v>349852.92906056723</v>
      </c>
    </row>
    <row r="87" spans="1:3">
      <c r="A87">
        <v>2032</v>
      </c>
      <c r="B87" t="s">
        <v>120</v>
      </c>
      <c r="C87" s="5">
        <v>364168.89592448517</v>
      </c>
    </row>
    <row r="88" spans="1:3">
      <c r="A88">
        <v>2033</v>
      </c>
      <c r="B88" t="s">
        <v>120</v>
      </c>
      <c r="C88" s="5">
        <v>371316.7011884033</v>
      </c>
    </row>
    <row r="89" spans="1:3">
      <c r="A89">
        <v>2034</v>
      </c>
      <c r="B89" t="s">
        <v>120</v>
      </c>
      <c r="C89" s="5">
        <v>371296.34485232108</v>
      </c>
    </row>
    <row r="90" spans="1:3">
      <c r="A90">
        <v>2035</v>
      </c>
      <c r="B90" t="s">
        <v>120</v>
      </c>
      <c r="C90" s="5">
        <v>364107.82691623911</v>
      </c>
    </row>
    <row r="91" spans="1:3">
      <c r="A91">
        <v>2036</v>
      </c>
      <c r="B91" t="s">
        <v>120</v>
      </c>
      <c r="C91" s="5">
        <v>349751.14738015714</v>
      </c>
    </row>
    <row r="92" spans="1:3">
      <c r="A92">
        <v>2037</v>
      </c>
      <c r="B92" t="s">
        <v>120</v>
      </c>
      <c r="C92" s="5">
        <v>328226.3062440753</v>
      </c>
    </row>
    <row r="93" spans="1:3">
      <c r="A93">
        <v>2038</v>
      </c>
      <c r="B93" t="s">
        <v>120</v>
      </c>
      <c r="C93" s="5">
        <v>299533.303507993</v>
      </c>
    </row>
    <row r="94" spans="1:3">
      <c r="A94">
        <v>2039</v>
      </c>
      <c r="B94" t="s">
        <v>120</v>
      </c>
      <c r="C94" s="5">
        <v>263672.13917191105</v>
      </c>
    </row>
    <row r="95" spans="1:3">
      <c r="A95">
        <v>2040</v>
      </c>
      <c r="B95" t="s">
        <v>120</v>
      </c>
      <c r="C95" s="5">
        <v>219472.79748582924</v>
      </c>
    </row>
    <row r="96" spans="1:3">
      <c r="A96">
        <v>2041</v>
      </c>
      <c r="B96" t="s">
        <v>120</v>
      </c>
      <c r="C96" s="5">
        <v>165640.60384974699</v>
      </c>
    </row>
    <row r="97" spans="1:5">
      <c r="A97">
        <v>2042</v>
      </c>
      <c r="B97" t="s">
        <v>120</v>
      </c>
      <c r="C97" s="5">
        <v>107029.63581366492</v>
      </c>
    </row>
    <row r="98" spans="1:5">
      <c r="A98">
        <v>2043</v>
      </c>
      <c r="B98" t="s">
        <v>120</v>
      </c>
      <c r="C98" s="5">
        <v>43639.893377583052</v>
      </c>
    </row>
    <row r="99" spans="1:5">
      <c r="A99">
        <v>2044</v>
      </c>
      <c r="B99" t="s">
        <v>120</v>
      </c>
      <c r="C99" s="5">
        <v>504.47880750797049</v>
      </c>
    </row>
    <row r="100" spans="1:5">
      <c r="A100">
        <v>2045</v>
      </c>
      <c r="B100" t="s">
        <v>120</v>
      </c>
      <c r="C100" s="5">
        <v>0</v>
      </c>
    </row>
    <row r="101" spans="1:5">
      <c r="A101">
        <v>2046</v>
      </c>
      <c r="B101" t="s">
        <v>120</v>
      </c>
      <c r="C101" s="5">
        <v>0</v>
      </c>
    </row>
    <row r="102" spans="1:5" ht="14.45" customHeight="1">
      <c r="A102">
        <v>2022</v>
      </c>
      <c r="B102" t="s">
        <v>121</v>
      </c>
      <c r="C102" s="5">
        <v>1505626.579256315</v>
      </c>
      <c r="D102" t="s">
        <v>261</v>
      </c>
      <c r="E102" s="5"/>
    </row>
    <row r="103" spans="1:5">
      <c r="A103">
        <v>2023</v>
      </c>
      <c r="B103" t="s">
        <v>121</v>
      </c>
      <c r="C103" s="5">
        <v>1882033.2240703937</v>
      </c>
      <c r="E103" s="5"/>
    </row>
    <row r="104" spans="1:5">
      <c r="A104">
        <v>2024</v>
      </c>
      <c r="B104" t="s">
        <v>121</v>
      </c>
      <c r="C104" s="5">
        <v>754664.70506283105</v>
      </c>
      <c r="E104" s="5"/>
    </row>
    <row r="105" spans="1:5">
      <c r="A105">
        <v>2025</v>
      </c>
      <c r="B105" t="s">
        <v>121</v>
      </c>
      <c r="C105" s="5">
        <v>174459.8025742441</v>
      </c>
      <c r="E105" s="5"/>
    </row>
    <row r="106" spans="1:5">
      <c r="A106">
        <v>2026</v>
      </c>
      <c r="B106" t="s">
        <v>121</v>
      </c>
      <c r="C106" s="5">
        <v>223375.50594150578</v>
      </c>
      <c r="D106" s="39"/>
      <c r="E106" s="5"/>
    </row>
    <row r="107" spans="1:5">
      <c r="A107">
        <v>2027</v>
      </c>
      <c r="B107" t="s">
        <v>121</v>
      </c>
      <c r="C107" s="5">
        <v>284061.35639739526</v>
      </c>
      <c r="D107" s="39"/>
      <c r="E107" s="5"/>
    </row>
    <row r="108" spans="1:5">
      <c r="A108">
        <v>2028</v>
      </c>
      <c r="B108" t="s">
        <v>121</v>
      </c>
      <c r="C108" s="5">
        <v>337888.97969847143</v>
      </c>
      <c r="D108" s="39"/>
      <c r="E108" s="5"/>
    </row>
    <row r="109" spans="1:5">
      <c r="A109">
        <v>2029</v>
      </c>
      <c r="B109" t="s">
        <v>121</v>
      </c>
      <c r="C109" s="5">
        <v>403677.68060281849</v>
      </c>
      <c r="D109" s="39"/>
      <c r="E109" s="5"/>
    </row>
    <row r="110" spans="1:5">
      <c r="A110">
        <v>2030</v>
      </c>
      <c r="B110" t="s">
        <v>121</v>
      </c>
      <c r="C110" s="5">
        <v>495921.64999141451</v>
      </c>
      <c r="D110" s="39"/>
      <c r="E110" s="5"/>
    </row>
    <row r="111" spans="1:5">
      <c r="A111">
        <v>2031</v>
      </c>
      <c r="B111" t="s">
        <v>121</v>
      </c>
      <c r="C111" s="5">
        <v>577105.13376836386</v>
      </c>
      <c r="D111" s="39"/>
      <c r="E111" s="5"/>
    </row>
    <row r="112" spans="1:5">
      <c r="A112">
        <v>2032</v>
      </c>
      <c r="B112" t="s">
        <v>121</v>
      </c>
      <c r="C112" s="5">
        <v>644871.19550432777</v>
      </c>
      <c r="D112" s="39"/>
      <c r="E112" s="5"/>
    </row>
    <row r="113" spans="1:5">
      <c r="A113">
        <v>2033</v>
      </c>
      <c r="B113" t="s">
        <v>121</v>
      </c>
      <c r="C113" s="5">
        <v>692975.5913628675</v>
      </c>
      <c r="D113" s="39"/>
      <c r="E113" s="5"/>
    </row>
    <row r="114" spans="1:5">
      <c r="A114">
        <v>2034</v>
      </c>
      <c r="B114" t="s">
        <v>121</v>
      </c>
      <c r="C114" s="5">
        <v>728475.11041149078</v>
      </c>
      <c r="D114" s="39"/>
      <c r="E114" s="5"/>
    </row>
    <row r="115" spans="1:5">
      <c r="A115">
        <v>2035</v>
      </c>
      <c r="B115" t="s">
        <v>121</v>
      </c>
      <c r="C115" s="5">
        <v>746491.56504777574</v>
      </c>
      <c r="D115" s="39"/>
      <c r="E115" s="5"/>
    </row>
    <row r="116" spans="1:5">
      <c r="A116">
        <v>2036</v>
      </c>
      <c r="B116" t="s">
        <v>121</v>
      </c>
      <c r="C116" s="5">
        <v>744927.49648434762</v>
      </c>
      <c r="D116" s="39"/>
      <c r="E116" s="5"/>
    </row>
    <row r="117" spans="1:5">
      <c r="A117">
        <v>2037</v>
      </c>
      <c r="B117" t="s">
        <v>121</v>
      </c>
      <c r="C117" s="5">
        <v>725653.84798177739</v>
      </c>
      <c r="D117" s="39"/>
      <c r="E117" s="5"/>
    </row>
    <row r="118" spans="1:5">
      <c r="A118">
        <v>2038</v>
      </c>
      <c r="B118" t="s">
        <v>121</v>
      </c>
      <c r="C118" s="5">
        <v>683581.50260964467</v>
      </c>
      <c r="D118" s="39"/>
      <c r="E118" s="5"/>
    </row>
    <row r="119" spans="1:5">
      <c r="A119">
        <v>2039</v>
      </c>
      <c r="B119" t="s">
        <v>121</v>
      </c>
      <c r="C119" s="5">
        <v>631693.53383147274</v>
      </c>
      <c r="D119" s="39"/>
      <c r="E119" s="5"/>
    </row>
    <row r="120" spans="1:5">
      <c r="A120">
        <v>2040</v>
      </c>
      <c r="B120" t="s">
        <v>121</v>
      </c>
      <c r="C120" s="5">
        <v>569309.48077194416</v>
      </c>
      <c r="D120" s="39"/>
      <c r="E120" s="5"/>
    </row>
    <row r="121" spans="1:5">
      <c r="A121">
        <v>2041</v>
      </c>
      <c r="B121" t="s">
        <v>121</v>
      </c>
      <c r="C121" s="5">
        <v>528403.64447458123</v>
      </c>
      <c r="D121" s="39"/>
      <c r="E121" s="5"/>
    </row>
    <row r="122" spans="1:5">
      <c r="A122">
        <v>2042</v>
      </c>
      <c r="B122" t="s">
        <v>121</v>
      </c>
      <c r="C122" s="5">
        <v>473658.54558840627</v>
      </c>
      <c r="D122" s="39"/>
      <c r="E122" s="5"/>
    </row>
    <row r="123" spans="1:5">
      <c r="A123">
        <v>2043</v>
      </c>
      <c r="B123" t="s">
        <v>121</v>
      </c>
      <c r="C123" s="5">
        <v>413080.74443399254</v>
      </c>
      <c r="D123" s="39"/>
      <c r="E123" s="5"/>
    </row>
    <row r="124" spans="1:5">
      <c r="A124">
        <v>2044</v>
      </c>
      <c r="B124" t="s">
        <v>121</v>
      </c>
      <c r="C124" s="5">
        <v>343728.30719743087</v>
      </c>
      <c r="D124" s="39"/>
      <c r="E124" s="5"/>
    </row>
    <row r="125" spans="1:5">
      <c r="A125">
        <v>2045</v>
      </c>
      <c r="B125" t="s">
        <v>121</v>
      </c>
      <c r="C125" s="5">
        <v>270177.7526926737</v>
      </c>
      <c r="D125" s="39"/>
      <c r="E125" s="5"/>
    </row>
    <row r="126" spans="1:5">
      <c r="A126">
        <v>2046</v>
      </c>
      <c r="B126" t="s">
        <v>121</v>
      </c>
      <c r="C126" s="5">
        <v>275627.19019797258</v>
      </c>
      <c r="D126" s="28"/>
      <c r="E126" s="5"/>
    </row>
    <row r="127" spans="1:5">
      <c r="A127">
        <v>2022</v>
      </c>
      <c r="B127" t="s">
        <v>170</v>
      </c>
      <c r="C127" s="5">
        <v>0</v>
      </c>
      <c r="D127" s="49" t="s">
        <v>262</v>
      </c>
    </row>
    <row r="128" spans="1:5">
      <c r="A128">
        <v>2023</v>
      </c>
      <c r="B128" t="s">
        <v>170</v>
      </c>
      <c r="C128" s="5">
        <v>0</v>
      </c>
    </row>
    <row r="129" spans="1:3">
      <c r="A129">
        <v>2024</v>
      </c>
      <c r="B129" t="s">
        <v>170</v>
      </c>
      <c r="C129" s="5">
        <v>0</v>
      </c>
    </row>
    <row r="130" spans="1:3">
      <c r="A130">
        <v>2025</v>
      </c>
      <c r="B130" t="s">
        <v>170</v>
      </c>
      <c r="C130" s="5">
        <v>0</v>
      </c>
    </row>
    <row r="131" spans="1:3">
      <c r="A131">
        <v>2026</v>
      </c>
      <c r="B131" t="s">
        <v>170</v>
      </c>
      <c r="C131" s="5">
        <v>0</v>
      </c>
    </row>
    <row r="132" spans="1:3">
      <c r="A132">
        <v>2027</v>
      </c>
      <c r="B132" t="s">
        <v>170</v>
      </c>
      <c r="C132" s="5">
        <v>0</v>
      </c>
    </row>
    <row r="133" spans="1:3">
      <c r="A133">
        <v>2028</v>
      </c>
      <c r="B133" t="s">
        <v>170</v>
      </c>
      <c r="C133" s="5">
        <v>0</v>
      </c>
    </row>
    <row r="134" spans="1:3">
      <c r="A134">
        <v>2029</v>
      </c>
      <c r="B134" t="s">
        <v>170</v>
      </c>
      <c r="C134" s="5">
        <v>0</v>
      </c>
    </row>
    <row r="135" spans="1:3">
      <c r="A135">
        <v>2030</v>
      </c>
      <c r="B135" t="s">
        <v>170</v>
      </c>
      <c r="C135" s="5">
        <v>0</v>
      </c>
    </row>
    <row r="136" spans="1:3">
      <c r="A136">
        <v>2031</v>
      </c>
      <c r="B136" t="s">
        <v>170</v>
      </c>
      <c r="C136" s="5">
        <v>0</v>
      </c>
    </row>
    <row r="137" spans="1:3">
      <c r="A137">
        <v>2032</v>
      </c>
      <c r="B137" t="s">
        <v>170</v>
      </c>
      <c r="C137" s="5">
        <v>0</v>
      </c>
    </row>
    <row r="138" spans="1:3">
      <c r="A138">
        <v>2033</v>
      </c>
      <c r="B138" t="s">
        <v>170</v>
      </c>
      <c r="C138" s="5">
        <v>0</v>
      </c>
    </row>
    <row r="139" spans="1:3">
      <c r="A139">
        <v>2034</v>
      </c>
      <c r="B139" t="s">
        <v>170</v>
      </c>
      <c r="C139" s="5">
        <v>0</v>
      </c>
    </row>
    <row r="140" spans="1:3">
      <c r="A140">
        <v>2035</v>
      </c>
      <c r="B140" t="s">
        <v>170</v>
      </c>
      <c r="C140" s="5">
        <v>0</v>
      </c>
    </row>
    <row r="141" spans="1:3">
      <c r="A141">
        <v>2036</v>
      </c>
      <c r="B141" t="s">
        <v>170</v>
      </c>
      <c r="C141" s="5">
        <v>0</v>
      </c>
    </row>
    <row r="142" spans="1:3">
      <c r="A142">
        <v>2037</v>
      </c>
      <c r="B142" t="s">
        <v>170</v>
      </c>
      <c r="C142" s="5">
        <v>0</v>
      </c>
    </row>
    <row r="143" spans="1:3">
      <c r="A143">
        <v>2038</v>
      </c>
      <c r="B143" t="s">
        <v>170</v>
      </c>
      <c r="C143" s="5">
        <v>0</v>
      </c>
    </row>
    <row r="144" spans="1:3">
      <c r="A144">
        <v>2039</v>
      </c>
      <c r="B144" t="s">
        <v>170</v>
      </c>
      <c r="C144" s="5">
        <v>0</v>
      </c>
    </row>
    <row r="145" spans="1:3">
      <c r="A145">
        <v>2040</v>
      </c>
      <c r="B145" t="s">
        <v>170</v>
      </c>
      <c r="C145" s="5">
        <v>0</v>
      </c>
    </row>
    <row r="146" spans="1:3">
      <c r="A146">
        <v>2041</v>
      </c>
      <c r="B146" t="s">
        <v>170</v>
      </c>
      <c r="C146" s="5">
        <v>0</v>
      </c>
    </row>
    <row r="147" spans="1:3">
      <c r="A147">
        <v>2042</v>
      </c>
      <c r="B147" t="s">
        <v>170</v>
      </c>
      <c r="C147" s="5">
        <v>0</v>
      </c>
    </row>
    <row r="148" spans="1:3">
      <c r="A148">
        <v>2043</v>
      </c>
      <c r="B148" t="s">
        <v>170</v>
      </c>
      <c r="C148" s="5">
        <v>0</v>
      </c>
    </row>
    <row r="149" spans="1:3">
      <c r="A149">
        <v>2044</v>
      </c>
      <c r="B149" t="s">
        <v>170</v>
      </c>
      <c r="C149" s="5">
        <v>0</v>
      </c>
    </row>
    <row r="150" spans="1:3">
      <c r="A150">
        <v>2045</v>
      </c>
      <c r="B150" t="s">
        <v>170</v>
      </c>
      <c r="C150" s="5">
        <v>0</v>
      </c>
    </row>
    <row r="151" spans="1:3">
      <c r="A151">
        <v>2046</v>
      </c>
      <c r="B151" t="s">
        <v>170</v>
      </c>
      <c r="C151" s="5">
        <v>0</v>
      </c>
    </row>
    <row r="152" spans="1:3">
      <c r="A152">
        <v>2047</v>
      </c>
      <c r="B152" t="s">
        <v>170</v>
      </c>
      <c r="C152" s="5">
        <v>0</v>
      </c>
    </row>
    <row r="153" spans="1:3">
      <c r="A153">
        <v>2048</v>
      </c>
      <c r="B153" t="s">
        <v>170</v>
      </c>
      <c r="C153" s="5">
        <v>0</v>
      </c>
    </row>
    <row r="154" spans="1:3">
      <c r="A154">
        <v>2049</v>
      </c>
      <c r="B154" t="s">
        <v>170</v>
      </c>
      <c r="C154" s="5">
        <v>0</v>
      </c>
    </row>
    <row r="155" spans="1:3">
      <c r="A155">
        <v>2050</v>
      </c>
      <c r="B155" t="s">
        <v>170</v>
      </c>
      <c r="C155" s="5">
        <v>0</v>
      </c>
    </row>
    <row r="156" spans="1:3">
      <c r="A156">
        <v>2022</v>
      </c>
      <c r="B156" t="s">
        <v>68</v>
      </c>
      <c r="C156">
        <v>0</v>
      </c>
    </row>
    <row r="157" spans="1:3">
      <c r="A157">
        <v>2023</v>
      </c>
      <c r="B157" t="s">
        <v>68</v>
      </c>
      <c r="C157">
        <v>0</v>
      </c>
    </row>
    <row r="158" spans="1:3">
      <c r="A158">
        <v>2024</v>
      </c>
      <c r="B158" t="s">
        <v>68</v>
      </c>
      <c r="C158">
        <v>0</v>
      </c>
    </row>
    <row r="159" spans="1:3">
      <c r="A159">
        <v>2025</v>
      </c>
      <c r="B159" t="s">
        <v>68</v>
      </c>
      <c r="C159">
        <v>0</v>
      </c>
    </row>
    <row r="160" spans="1:3">
      <c r="A160">
        <v>2026</v>
      </c>
      <c r="B160" t="s">
        <v>68</v>
      </c>
      <c r="C160">
        <v>0</v>
      </c>
    </row>
    <row r="161" spans="1:4">
      <c r="A161">
        <v>2027</v>
      </c>
      <c r="B161" t="s">
        <v>68</v>
      </c>
      <c r="C161">
        <v>0</v>
      </c>
      <c r="D161" s="5"/>
    </row>
    <row r="162" spans="1:4">
      <c r="A162">
        <v>2028</v>
      </c>
      <c r="B162" t="s">
        <v>68</v>
      </c>
      <c r="C162">
        <v>0</v>
      </c>
      <c r="D162" s="5"/>
    </row>
    <row r="163" spans="1:4">
      <c r="A163">
        <v>2029</v>
      </c>
      <c r="B163" t="s">
        <v>68</v>
      </c>
      <c r="C163">
        <v>0</v>
      </c>
      <c r="D163" s="5"/>
    </row>
    <row r="164" spans="1:4">
      <c r="A164">
        <v>2030</v>
      </c>
      <c r="B164" t="s">
        <v>68</v>
      </c>
      <c r="C164">
        <v>0</v>
      </c>
      <c r="D164" s="5"/>
    </row>
    <row r="165" spans="1:4">
      <c r="A165">
        <v>2031</v>
      </c>
      <c r="B165" t="s">
        <v>68</v>
      </c>
      <c r="C165">
        <v>0</v>
      </c>
      <c r="D165" s="5"/>
    </row>
    <row r="166" spans="1:4">
      <c r="A166">
        <v>2032</v>
      </c>
      <c r="B166" t="s">
        <v>68</v>
      </c>
      <c r="C166">
        <v>0</v>
      </c>
    </row>
    <row r="167" spans="1:4">
      <c r="A167">
        <v>2033</v>
      </c>
      <c r="B167" t="s">
        <v>68</v>
      </c>
      <c r="C167">
        <v>0</v>
      </c>
    </row>
    <row r="168" spans="1:4">
      <c r="A168">
        <v>2034</v>
      </c>
      <c r="B168" t="s">
        <v>68</v>
      </c>
      <c r="C168">
        <v>0</v>
      </c>
    </row>
    <row r="169" spans="1:4">
      <c r="A169">
        <v>2035</v>
      </c>
      <c r="B169" t="s">
        <v>68</v>
      </c>
      <c r="C169">
        <v>0</v>
      </c>
    </row>
    <row r="170" spans="1:4">
      <c r="A170">
        <v>2036</v>
      </c>
      <c r="B170" t="s">
        <v>68</v>
      </c>
      <c r="C170">
        <v>0</v>
      </c>
    </row>
    <row r="171" spans="1:4">
      <c r="A171">
        <v>2037</v>
      </c>
      <c r="B171" t="s">
        <v>68</v>
      </c>
      <c r="C171">
        <v>0</v>
      </c>
    </row>
    <row r="172" spans="1:4">
      <c r="A172">
        <v>2038</v>
      </c>
      <c r="B172" t="s">
        <v>68</v>
      </c>
      <c r="C172">
        <v>0</v>
      </c>
    </row>
    <row r="173" spans="1:4">
      <c r="A173">
        <v>2039</v>
      </c>
      <c r="B173" t="s">
        <v>68</v>
      </c>
      <c r="C173">
        <v>0</v>
      </c>
    </row>
    <row r="174" spans="1:4">
      <c r="A174">
        <v>2040</v>
      </c>
      <c r="B174" t="s">
        <v>68</v>
      </c>
      <c r="C174">
        <v>0</v>
      </c>
    </row>
    <row r="175" spans="1:4">
      <c r="A175">
        <v>2041</v>
      </c>
      <c r="B175" t="s">
        <v>68</v>
      </c>
      <c r="C175">
        <v>0</v>
      </c>
    </row>
    <row r="176" spans="1:4">
      <c r="A176">
        <v>2042</v>
      </c>
      <c r="B176" t="s">
        <v>68</v>
      </c>
      <c r="C176">
        <v>0</v>
      </c>
    </row>
    <row r="177" spans="1:4">
      <c r="A177">
        <v>2043</v>
      </c>
      <c r="B177" t="s">
        <v>68</v>
      </c>
      <c r="C177">
        <v>0</v>
      </c>
    </row>
    <row r="178" spans="1:4">
      <c r="A178">
        <v>2044</v>
      </c>
      <c r="B178" t="s">
        <v>68</v>
      </c>
      <c r="C178">
        <v>0</v>
      </c>
    </row>
    <row r="179" spans="1:4">
      <c r="A179">
        <v>2045</v>
      </c>
      <c r="B179" t="s">
        <v>68</v>
      </c>
      <c r="C179">
        <v>0</v>
      </c>
    </row>
    <row r="180" spans="1:4">
      <c r="A180">
        <v>2046</v>
      </c>
      <c r="B180" t="s">
        <v>68</v>
      </c>
      <c r="C180">
        <v>0</v>
      </c>
    </row>
    <row r="181" spans="1:4">
      <c r="A181">
        <v>2022</v>
      </c>
      <c r="B181" t="s">
        <v>52</v>
      </c>
      <c r="C181" s="5">
        <v>0</v>
      </c>
    </row>
    <row r="182" spans="1:4">
      <c r="A182">
        <v>2023</v>
      </c>
      <c r="B182" t="s">
        <v>52</v>
      </c>
      <c r="C182" s="5">
        <v>0</v>
      </c>
    </row>
    <row r="183" spans="1:4">
      <c r="A183">
        <v>2024</v>
      </c>
      <c r="B183" t="s">
        <v>52</v>
      </c>
      <c r="C183" s="5">
        <v>0</v>
      </c>
    </row>
    <row r="184" spans="1:4">
      <c r="A184">
        <v>2025</v>
      </c>
      <c r="B184" t="s">
        <v>52</v>
      </c>
      <c r="C184" s="5">
        <v>0</v>
      </c>
    </row>
    <row r="185" spans="1:4">
      <c r="A185">
        <v>2026</v>
      </c>
      <c r="B185" t="s">
        <v>52</v>
      </c>
      <c r="C185" s="5">
        <v>0</v>
      </c>
    </row>
    <row r="186" spans="1:4">
      <c r="A186">
        <v>2027</v>
      </c>
      <c r="B186" t="s">
        <v>52</v>
      </c>
      <c r="C186" s="5">
        <v>0</v>
      </c>
      <c r="D186" s="5"/>
    </row>
    <row r="187" spans="1:4">
      <c r="A187">
        <v>2028</v>
      </c>
      <c r="B187" t="s">
        <v>52</v>
      </c>
      <c r="C187" s="5">
        <v>0</v>
      </c>
      <c r="D187" s="5"/>
    </row>
    <row r="188" spans="1:4">
      <c r="A188">
        <v>2029</v>
      </c>
      <c r="B188" t="s">
        <v>52</v>
      </c>
      <c r="C188" s="5">
        <v>0</v>
      </c>
      <c r="D188" s="5"/>
    </row>
    <row r="189" spans="1:4">
      <c r="A189">
        <v>2030</v>
      </c>
      <c r="B189" t="s">
        <v>52</v>
      </c>
      <c r="C189" s="5">
        <v>0</v>
      </c>
      <c r="D189" s="5"/>
    </row>
    <row r="190" spans="1:4">
      <c r="A190">
        <v>2031</v>
      </c>
      <c r="B190" t="s">
        <v>52</v>
      </c>
      <c r="C190" s="5">
        <v>0</v>
      </c>
      <c r="D190" s="5"/>
    </row>
    <row r="191" spans="1:4">
      <c r="A191">
        <v>2032</v>
      </c>
      <c r="B191" t="s">
        <v>52</v>
      </c>
      <c r="C191" s="5">
        <v>0</v>
      </c>
      <c r="D191" s="5"/>
    </row>
    <row r="192" spans="1:4">
      <c r="A192">
        <v>2033</v>
      </c>
      <c r="B192" t="s">
        <v>52</v>
      </c>
      <c r="C192" s="5">
        <v>0</v>
      </c>
      <c r="D192" s="5"/>
    </row>
    <row r="193" spans="1:4">
      <c r="A193">
        <v>2034</v>
      </c>
      <c r="B193" t="s">
        <v>52</v>
      </c>
      <c r="C193" s="5">
        <v>0</v>
      </c>
      <c r="D193" s="5"/>
    </row>
    <row r="194" spans="1:4">
      <c r="A194">
        <v>2035</v>
      </c>
      <c r="B194" t="s">
        <v>52</v>
      </c>
      <c r="C194" s="5">
        <v>0</v>
      </c>
      <c r="D194" s="5"/>
    </row>
    <row r="195" spans="1:4">
      <c r="A195">
        <v>2036</v>
      </c>
      <c r="B195" t="s">
        <v>52</v>
      </c>
      <c r="C195" s="5">
        <v>0</v>
      </c>
      <c r="D195" s="5"/>
    </row>
    <row r="196" spans="1:4">
      <c r="A196">
        <v>2037</v>
      </c>
      <c r="B196" t="s">
        <v>52</v>
      </c>
      <c r="C196" s="5">
        <v>0</v>
      </c>
      <c r="D196" s="5"/>
    </row>
    <row r="197" spans="1:4">
      <c r="A197">
        <v>2038</v>
      </c>
      <c r="B197" t="s">
        <v>52</v>
      </c>
      <c r="C197" s="5">
        <v>0</v>
      </c>
    </row>
    <row r="198" spans="1:4">
      <c r="A198">
        <v>2039</v>
      </c>
      <c r="B198" t="s">
        <v>52</v>
      </c>
      <c r="C198" s="5">
        <v>0</v>
      </c>
    </row>
    <row r="199" spans="1:4">
      <c r="A199">
        <v>2040</v>
      </c>
      <c r="B199" t="s">
        <v>52</v>
      </c>
      <c r="C199" s="5">
        <v>0</v>
      </c>
    </row>
    <row r="200" spans="1:4">
      <c r="A200">
        <v>2041</v>
      </c>
      <c r="B200" t="s">
        <v>52</v>
      </c>
      <c r="C200" s="5">
        <v>0</v>
      </c>
    </row>
    <row r="201" spans="1:4">
      <c r="A201">
        <v>2042</v>
      </c>
      <c r="B201" t="s">
        <v>52</v>
      </c>
      <c r="C201" s="5">
        <v>0</v>
      </c>
    </row>
    <row r="202" spans="1:4">
      <c r="A202">
        <v>2043</v>
      </c>
      <c r="B202" t="s">
        <v>52</v>
      </c>
      <c r="C202" s="5">
        <v>0</v>
      </c>
    </row>
    <row r="203" spans="1:4">
      <c r="A203">
        <v>2044</v>
      </c>
      <c r="B203" t="s">
        <v>52</v>
      </c>
      <c r="C203" s="5">
        <v>0</v>
      </c>
    </row>
    <row r="204" spans="1:4">
      <c r="A204">
        <v>2045</v>
      </c>
      <c r="B204" t="s">
        <v>52</v>
      </c>
      <c r="C204" s="5">
        <v>0</v>
      </c>
    </row>
    <row r="205" spans="1:4">
      <c r="A205">
        <v>2046</v>
      </c>
      <c r="B205" t="s">
        <v>52</v>
      </c>
      <c r="C205">
        <v>0</v>
      </c>
    </row>
    <row r="206" spans="1:4">
      <c r="A206">
        <v>2022</v>
      </c>
      <c r="B206" t="s">
        <v>171</v>
      </c>
      <c r="C206" s="5">
        <v>28000</v>
      </c>
    </row>
    <row r="207" spans="1:4">
      <c r="A207">
        <v>2023</v>
      </c>
      <c r="B207" t="s">
        <v>171</v>
      </c>
      <c r="C207" s="5">
        <v>28000</v>
      </c>
    </row>
    <row r="208" spans="1:4">
      <c r="A208">
        <v>2024</v>
      </c>
      <c r="B208" t="s">
        <v>171</v>
      </c>
      <c r="C208" s="5">
        <v>28000</v>
      </c>
    </row>
    <row r="209" spans="1:5">
      <c r="A209">
        <v>2025</v>
      </c>
      <c r="B209" t="s">
        <v>171</v>
      </c>
      <c r="C209" s="5">
        <v>28000</v>
      </c>
    </row>
    <row r="210" spans="1:5">
      <c r="A210">
        <v>2026</v>
      </c>
      <c r="B210" t="s">
        <v>171</v>
      </c>
      <c r="C210" s="5">
        <v>28000</v>
      </c>
    </row>
    <row r="211" spans="1:5">
      <c r="A211">
        <v>2027</v>
      </c>
      <c r="B211" t="s">
        <v>171</v>
      </c>
      <c r="C211" s="5">
        <v>28000</v>
      </c>
    </row>
    <row r="212" spans="1:5">
      <c r="A212">
        <v>2028</v>
      </c>
      <c r="B212" t="s">
        <v>171</v>
      </c>
      <c r="C212" s="5">
        <v>28000</v>
      </c>
    </row>
    <row r="213" spans="1:5">
      <c r="A213">
        <v>2029</v>
      </c>
      <c r="B213" t="s">
        <v>171</v>
      </c>
      <c r="C213" s="5">
        <v>28000</v>
      </c>
    </row>
    <row r="214" spans="1:5">
      <c r="A214">
        <v>2030</v>
      </c>
      <c r="B214" t="s">
        <v>171</v>
      </c>
      <c r="C214" s="5">
        <v>28000</v>
      </c>
    </row>
    <row r="215" spans="1:5">
      <c r="A215">
        <v>2031</v>
      </c>
      <c r="B215" t="s">
        <v>171</v>
      </c>
      <c r="C215" s="5">
        <v>28000</v>
      </c>
    </row>
    <row r="216" spans="1:5">
      <c r="A216">
        <v>2032</v>
      </c>
      <c r="B216" t="s">
        <v>171</v>
      </c>
      <c r="C216" s="5">
        <v>28000</v>
      </c>
    </row>
    <row r="217" spans="1:5">
      <c r="A217">
        <v>2033</v>
      </c>
      <c r="B217" t="s">
        <v>171</v>
      </c>
      <c r="C217" s="5">
        <v>28000</v>
      </c>
    </row>
    <row r="218" spans="1:5">
      <c r="A218">
        <v>2034</v>
      </c>
      <c r="B218" t="s">
        <v>171</v>
      </c>
      <c r="C218" s="5">
        <v>28000</v>
      </c>
    </row>
    <row r="219" spans="1:5">
      <c r="A219">
        <v>2035</v>
      </c>
      <c r="B219" t="s">
        <v>171</v>
      </c>
      <c r="C219" s="5">
        <v>28000</v>
      </c>
    </row>
    <row r="220" spans="1:5">
      <c r="A220">
        <v>2036</v>
      </c>
      <c r="B220" t="s">
        <v>171</v>
      </c>
      <c r="C220" s="5">
        <v>28000</v>
      </c>
    </row>
    <row r="221" spans="1:5">
      <c r="A221">
        <v>2037</v>
      </c>
      <c r="B221" t="s">
        <v>171</v>
      </c>
      <c r="C221" s="5">
        <v>28000</v>
      </c>
    </row>
    <row r="222" spans="1:5">
      <c r="A222">
        <v>2038</v>
      </c>
      <c r="B222" t="s">
        <v>171</v>
      </c>
      <c r="C222" s="5">
        <v>28000</v>
      </c>
    </row>
    <row r="223" spans="1:5">
      <c r="A223">
        <v>2039</v>
      </c>
      <c r="B223" t="s">
        <v>171</v>
      </c>
      <c r="C223" s="5">
        <v>28000</v>
      </c>
      <c r="E223" t="s">
        <v>263</v>
      </c>
    </row>
    <row r="224" spans="1:5">
      <c r="A224">
        <v>2022</v>
      </c>
      <c r="B224" t="s">
        <v>169</v>
      </c>
      <c r="C224" s="30">
        <v>357288</v>
      </c>
      <c r="E224">
        <v>23.8</v>
      </c>
    </row>
    <row r="225" spans="1:5">
      <c r="A225">
        <v>2023</v>
      </c>
      <c r="B225" t="s">
        <v>169</v>
      </c>
      <c r="C225" s="30">
        <f>C224*D225</f>
        <v>374080.53599999996</v>
      </c>
      <c r="D225">
        <f>1+(E225-E224)/100</f>
        <v>1.0469999999999999</v>
      </c>
      <c r="E225">
        <v>28.5</v>
      </c>
    </row>
    <row r="226" spans="1:5">
      <c r="A226">
        <v>2024</v>
      </c>
      <c r="B226" t="s">
        <v>169</v>
      </c>
      <c r="C226" s="30">
        <f t="shared" ref="C226:C233" si="1">C225*D226</f>
        <v>392410.48226399993</v>
      </c>
      <c r="D226">
        <f t="shared" ref="D226:D233" si="2">1+(E226-E225)/100</f>
        <v>1.0489999999999999</v>
      </c>
      <c r="E226">
        <v>33.4</v>
      </c>
    </row>
    <row r="227" spans="1:5">
      <c r="A227">
        <v>2025</v>
      </c>
      <c r="B227" t="s">
        <v>169</v>
      </c>
      <c r="C227" s="30">
        <f t="shared" si="1"/>
        <v>422233.67891606397</v>
      </c>
      <c r="D227">
        <f t="shared" si="2"/>
        <v>1.0760000000000001</v>
      </c>
      <c r="E227">
        <v>41</v>
      </c>
    </row>
    <row r="228" spans="1:5">
      <c r="A228">
        <v>2026</v>
      </c>
      <c r="B228" t="s">
        <v>169</v>
      </c>
      <c r="C228" s="30">
        <f t="shared" si="1"/>
        <v>436589.62399921019</v>
      </c>
      <c r="D228">
        <f>1+(E228-E227)/100</f>
        <v>1.034</v>
      </c>
      <c r="E228">
        <v>44.4</v>
      </c>
    </row>
    <row r="229" spans="1:5">
      <c r="A229">
        <v>2027</v>
      </c>
      <c r="B229" t="s">
        <v>169</v>
      </c>
      <c r="C229" s="30">
        <f t="shared" si="1"/>
        <v>453180.02971118019</v>
      </c>
      <c r="D229">
        <f t="shared" si="2"/>
        <v>1.038</v>
      </c>
      <c r="E229">
        <v>48.2</v>
      </c>
    </row>
    <row r="230" spans="1:5">
      <c r="A230">
        <v>2028</v>
      </c>
      <c r="B230" t="s">
        <v>169</v>
      </c>
      <c r="C230" s="30">
        <f t="shared" si="1"/>
        <v>471760.41092933854</v>
      </c>
      <c r="D230">
        <f t="shared" si="2"/>
        <v>1.0409999999999999</v>
      </c>
      <c r="E230">
        <v>52.3</v>
      </c>
    </row>
    <row r="231" spans="1:5">
      <c r="A231">
        <v>2029</v>
      </c>
      <c r="B231" t="s">
        <v>169</v>
      </c>
      <c r="C231" s="30">
        <f t="shared" si="1"/>
        <v>492517.86901022948</v>
      </c>
      <c r="D231">
        <f t="shared" si="2"/>
        <v>1.044</v>
      </c>
      <c r="E231">
        <v>56.7</v>
      </c>
    </row>
    <row r="232" spans="1:5">
      <c r="A232">
        <v>2030</v>
      </c>
      <c r="B232" t="s">
        <v>169</v>
      </c>
      <c r="C232" s="30">
        <f t="shared" si="1"/>
        <v>515666.20885371021</v>
      </c>
      <c r="D232">
        <f t="shared" si="2"/>
        <v>1.0469999999999999</v>
      </c>
      <c r="E232">
        <v>61.4</v>
      </c>
    </row>
    <row r="233" spans="1:5">
      <c r="A233">
        <v>2031</v>
      </c>
      <c r="B233" t="s">
        <v>169</v>
      </c>
      <c r="C233" s="30">
        <f t="shared" si="1"/>
        <v>555372.50693544582</v>
      </c>
      <c r="D233">
        <f t="shared" si="2"/>
        <v>1.077</v>
      </c>
      <c r="E233">
        <v>69.099999999999994</v>
      </c>
    </row>
    <row r="234" spans="1:5">
      <c r="A234">
        <v>2032</v>
      </c>
      <c r="B234" t="s">
        <v>169</v>
      </c>
      <c r="C234" s="30">
        <f>C233*D234</f>
        <v>600357.67999721703</v>
      </c>
      <c r="D234">
        <f>1+(E234-E233)/100</f>
        <v>1.0810000000000002</v>
      </c>
      <c r="E234">
        <v>77.2</v>
      </c>
    </row>
    <row r="235" spans="1:5">
      <c r="A235">
        <v>2033</v>
      </c>
      <c r="B235" t="s">
        <v>169</v>
      </c>
      <c r="C235" s="30">
        <v>600357.67999721703</v>
      </c>
      <c r="E235" t="s">
        <v>264</v>
      </c>
    </row>
    <row r="236" spans="1:5">
      <c r="A236">
        <v>2034</v>
      </c>
      <c r="B236" t="s">
        <v>169</v>
      </c>
      <c r="C236" s="30">
        <v>600357.67999721703</v>
      </c>
    </row>
    <row r="237" spans="1:5">
      <c r="A237">
        <v>2035</v>
      </c>
      <c r="B237" t="s">
        <v>169</v>
      </c>
      <c r="C237" s="30">
        <v>600357.67999721703</v>
      </c>
    </row>
    <row r="238" spans="1:5">
      <c r="A238">
        <v>2036</v>
      </c>
      <c r="B238" t="s">
        <v>169</v>
      </c>
      <c r="C238" s="30">
        <v>600357.67999721703</v>
      </c>
    </row>
    <row r="239" spans="1:5">
      <c r="A239">
        <v>2037</v>
      </c>
      <c r="B239" t="s">
        <v>169</v>
      </c>
      <c r="C239" s="30">
        <v>600357.67999721703</v>
      </c>
    </row>
    <row r="240" spans="1:5">
      <c r="A240">
        <v>2038</v>
      </c>
      <c r="B240" t="s">
        <v>169</v>
      </c>
      <c r="C240" s="30">
        <v>600357.67999721703</v>
      </c>
    </row>
    <row r="241" spans="1:4">
      <c r="A241">
        <v>2039</v>
      </c>
      <c r="B241" t="s">
        <v>169</v>
      </c>
      <c r="C241" s="30">
        <v>600357.67999721703</v>
      </c>
    </row>
    <row r="242" spans="1:4">
      <c r="A242">
        <v>2040</v>
      </c>
      <c r="B242" t="s">
        <v>169</v>
      </c>
      <c r="C242" s="30">
        <v>600357.67999721703</v>
      </c>
    </row>
    <row r="243" spans="1:4">
      <c r="A243">
        <v>2041</v>
      </c>
      <c r="B243" t="s">
        <v>169</v>
      </c>
      <c r="C243" s="30">
        <v>600357.67999721703</v>
      </c>
    </row>
    <row r="244" spans="1:4">
      <c r="A244">
        <v>2042</v>
      </c>
      <c r="B244" t="s">
        <v>169</v>
      </c>
      <c r="C244" s="30">
        <v>600357.67999721703</v>
      </c>
    </row>
    <row r="245" spans="1:4">
      <c r="A245">
        <v>2043</v>
      </c>
      <c r="B245" t="s">
        <v>169</v>
      </c>
      <c r="C245" s="30">
        <v>600357.67999721703</v>
      </c>
    </row>
    <row r="246" spans="1:4">
      <c r="A246">
        <v>2044</v>
      </c>
      <c r="B246" t="s">
        <v>169</v>
      </c>
      <c r="C246" s="30">
        <v>600357.67999721703</v>
      </c>
    </row>
    <row r="247" spans="1:4">
      <c r="A247">
        <v>2045</v>
      </c>
      <c r="B247" t="s">
        <v>169</v>
      </c>
      <c r="C247" s="30">
        <v>600357.67999721703</v>
      </c>
    </row>
    <row r="248" spans="1:4">
      <c r="A248">
        <v>2046</v>
      </c>
      <c r="B248" t="s">
        <v>169</v>
      </c>
      <c r="C248" s="30">
        <v>600357.67999721703</v>
      </c>
    </row>
    <row r="249" spans="1:4">
      <c r="A249">
        <v>2022</v>
      </c>
      <c r="B249" t="s">
        <v>112</v>
      </c>
      <c r="C249" s="30">
        <v>62671</v>
      </c>
      <c r="D249" t="s">
        <v>265</v>
      </c>
    </row>
    <row r="250" spans="1:4">
      <c r="A250">
        <v>2023</v>
      </c>
      <c r="B250" t="s">
        <v>112</v>
      </c>
      <c r="C250" s="30">
        <v>62671</v>
      </c>
    </row>
    <row r="251" spans="1:4">
      <c r="A251">
        <v>2024</v>
      </c>
      <c r="B251" t="s">
        <v>112</v>
      </c>
      <c r="C251" s="30">
        <v>62671</v>
      </c>
    </row>
    <row r="252" spans="1:4">
      <c r="A252">
        <v>2025</v>
      </c>
      <c r="B252" t="s">
        <v>112</v>
      </c>
      <c r="C252" s="30">
        <v>62671</v>
      </c>
    </row>
    <row r="253" spans="1:4">
      <c r="A253">
        <v>2026</v>
      </c>
      <c r="B253" t="s">
        <v>112</v>
      </c>
      <c r="C253" s="30">
        <v>62671</v>
      </c>
    </row>
    <row r="254" spans="1:4">
      <c r="A254">
        <v>2027</v>
      </c>
      <c r="B254" t="s">
        <v>112</v>
      </c>
      <c r="C254" s="30">
        <v>62671</v>
      </c>
    </row>
    <row r="255" spans="1:4">
      <c r="A255">
        <v>2028</v>
      </c>
      <c r="B255" t="s">
        <v>112</v>
      </c>
      <c r="C255" s="30">
        <v>62671</v>
      </c>
    </row>
    <row r="256" spans="1:4">
      <c r="A256">
        <v>2029</v>
      </c>
      <c r="B256" t="s">
        <v>112</v>
      </c>
      <c r="C256" s="30">
        <v>62671</v>
      </c>
    </row>
    <row r="257" spans="1:3">
      <c r="A257">
        <v>2030</v>
      </c>
      <c r="B257" t="s">
        <v>112</v>
      </c>
      <c r="C257" s="30">
        <v>62671</v>
      </c>
    </row>
    <row r="258" spans="1:3">
      <c r="A258">
        <v>2031</v>
      </c>
      <c r="B258" t="s">
        <v>112</v>
      </c>
      <c r="C258" s="30">
        <v>62671</v>
      </c>
    </row>
    <row r="259" spans="1:3">
      <c r="A259">
        <v>2032</v>
      </c>
      <c r="B259" t="s">
        <v>112</v>
      </c>
      <c r="C259" s="30">
        <v>62671</v>
      </c>
    </row>
    <row r="260" spans="1:3">
      <c r="A260">
        <v>2033</v>
      </c>
      <c r="B260" t="s">
        <v>112</v>
      </c>
      <c r="C260" s="30">
        <v>62671</v>
      </c>
    </row>
    <row r="261" spans="1:3">
      <c r="A261">
        <v>2034</v>
      </c>
      <c r="B261" t="s">
        <v>112</v>
      </c>
      <c r="C261" s="30">
        <v>62671</v>
      </c>
    </row>
    <row r="262" spans="1:3">
      <c r="A262">
        <v>2035</v>
      </c>
      <c r="B262" t="s">
        <v>112</v>
      </c>
      <c r="C262" s="30">
        <v>62671</v>
      </c>
    </row>
    <row r="263" spans="1:3">
      <c r="A263">
        <v>2036</v>
      </c>
      <c r="B263" t="s">
        <v>112</v>
      </c>
      <c r="C263" s="30">
        <v>62671</v>
      </c>
    </row>
    <row r="264" spans="1:3">
      <c r="A264">
        <v>2037</v>
      </c>
      <c r="B264" t="s">
        <v>112</v>
      </c>
      <c r="C264" s="30">
        <v>62671</v>
      </c>
    </row>
    <row r="265" spans="1:3">
      <c r="A265">
        <v>2038</v>
      </c>
      <c r="B265" t="s">
        <v>112</v>
      </c>
      <c r="C265" s="30">
        <v>62671</v>
      </c>
    </row>
    <row r="266" spans="1:3">
      <c r="A266">
        <v>2039</v>
      </c>
      <c r="B266" t="s">
        <v>112</v>
      </c>
      <c r="C266" s="30">
        <v>62671</v>
      </c>
    </row>
    <row r="267" spans="1:3">
      <c r="A267">
        <v>2040</v>
      </c>
      <c r="B267" t="s">
        <v>112</v>
      </c>
      <c r="C267" s="30">
        <v>62671</v>
      </c>
    </row>
    <row r="268" spans="1:3">
      <c r="A268">
        <v>2041</v>
      </c>
      <c r="B268" t="s">
        <v>112</v>
      </c>
      <c r="C268" s="30">
        <v>62671</v>
      </c>
    </row>
    <row r="269" spans="1:3">
      <c r="A269">
        <v>2042</v>
      </c>
      <c r="B269" t="s">
        <v>112</v>
      </c>
      <c r="C269" s="30">
        <v>62671</v>
      </c>
    </row>
    <row r="270" spans="1:3">
      <c r="A270">
        <v>2043</v>
      </c>
      <c r="B270" t="s">
        <v>112</v>
      </c>
      <c r="C270" s="30">
        <v>62671</v>
      </c>
    </row>
    <row r="271" spans="1:3">
      <c r="A271">
        <v>2044</v>
      </c>
      <c r="B271" t="s">
        <v>112</v>
      </c>
      <c r="C271" s="30">
        <v>62671</v>
      </c>
    </row>
    <row r="272" spans="1:3">
      <c r="A272">
        <v>2045</v>
      </c>
      <c r="B272" t="s">
        <v>112</v>
      </c>
      <c r="C272" s="30">
        <v>62671</v>
      </c>
    </row>
    <row r="273" spans="1:4">
      <c r="A273">
        <v>2046</v>
      </c>
      <c r="B273" t="s">
        <v>112</v>
      </c>
      <c r="C273" s="30">
        <v>62671</v>
      </c>
    </row>
    <row r="274" spans="1:4">
      <c r="A274">
        <v>2022</v>
      </c>
      <c r="B274" t="s">
        <v>119</v>
      </c>
      <c r="C274" s="30">
        <v>37166.857000000105</v>
      </c>
    </row>
    <row r="275" spans="1:4">
      <c r="A275">
        <v>2023</v>
      </c>
      <c r="B275" t="s">
        <v>119</v>
      </c>
      <c r="C275" s="30">
        <v>48556.435400000162</v>
      </c>
    </row>
    <row r="276" spans="1:4">
      <c r="A276">
        <v>2024</v>
      </c>
      <c r="B276" t="s">
        <v>119</v>
      </c>
      <c r="C276" s="30">
        <v>62665.646947248577</v>
      </c>
    </row>
    <row r="277" spans="1:4">
      <c r="A277">
        <v>2025</v>
      </c>
      <c r="B277" t="s">
        <v>119</v>
      </c>
      <c r="C277" s="30">
        <v>81892.375846437906</v>
      </c>
    </row>
    <row r="278" spans="1:4">
      <c r="A278">
        <v>2026</v>
      </c>
      <c r="B278" t="s">
        <v>119</v>
      </c>
      <c r="C278" s="30">
        <v>106212.21551034832</v>
      </c>
    </row>
    <row r="279" spans="1:4">
      <c r="A279">
        <v>2027</v>
      </c>
      <c r="B279" t="s">
        <v>119</v>
      </c>
      <c r="C279" s="30">
        <v>134374.37261425838</v>
      </c>
    </row>
    <row r="280" spans="1:4">
      <c r="A280">
        <v>2028</v>
      </c>
      <c r="B280" t="s">
        <v>119</v>
      </c>
      <c r="C280" s="30">
        <v>166378.84715816879</v>
      </c>
    </row>
    <row r="281" spans="1:4">
      <c r="A281">
        <v>2029</v>
      </c>
      <c r="B281" t="s">
        <v>119</v>
      </c>
      <c r="C281" s="30">
        <v>202225.6391420791</v>
      </c>
    </row>
    <row r="282" spans="1:4">
      <c r="A282">
        <v>2030</v>
      </c>
      <c r="B282" t="s">
        <v>119</v>
      </c>
      <c r="C282" s="30">
        <v>247236.14207098942</v>
      </c>
      <c r="D282" t="s">
        <v>266</v>
      </c>
    </row>
    <row r="283" spans="1:4">
      <c r="A283">
        <v>2031</v>
      </c>
      <c r="B283" t="s">
        <v>119</v>
      </c>
      <c r="C283" s="30">
        <v>247236.14207098942</v>
      </c>
    </row>
    <row r="284" spans="1:4">
      <c r="A284">
        <v>2032</v>
      </c>
      <c r="B284" t="s">
        <v>119</v>
      </c>
      <c r="C284" s="30">
        <v>247236.14207098942</v>
      </c>
    </row>
    <row r="285" spans="1:4">
      <c r="A285">
        <v>2033</v>
      </c>
      <c r="B285" t="s">
        <v>119</v>
      </c>
      <c r="C285" s="30">
        <v>247236.14207098942</v>
      </c>
    </row>
    <row r="286" spans="1:4">
      <c r="A286">
        <v>2034</v>
      </c>
      <c r="B286" t="s">
        <v>119</v>
      </c>
      <c r="C286" s="30">
        <v>247236.14207098942</v>
      </c>
    </row>
    <row r="287" spans="1:4">
      <c r="A287">
        <v>2035</v>
      </c>
      <c r="B287" t="s">
        <v>119</v>
      </c>
      <c r="C287" s="30">
        <v>247236.14207098942</v>
      </c>
    </row>
    <row r="288" spans="1:4">
      <c r="A288">
        <v>2036</v>
      </c>
      <c r="B288" t="s">
        <v>119</v>
      </c>
      <c r="C288" s="30">
        <v>247236.14207098942</v>
      </c>
    </row>
    <row r="289" spans="1:3">
      <c r="A289">
        <v>2037</v>
      </c>
      <c r="B289" t="s">
        <v>119</v>
      </c>
      <c r="C289" s="30">
        <v>247236.14207098942</v>
      </c>
    </row>
    <row r="290" spans="1:3">
      <c r="A290">
        <v>2038</v>
      </c>
      <c r="B290" t="s">
        <v>119</v>
      </c>
      <c r="C290" s="30">
        <v>247236.14207098942</v>
      </c>
    </row>
    <row r="291" spans="1:3">
      <c r="A291">
        <v>2039</v>
      </c>
      <c r="B291" t="s">
        <v>119</v>
      </c>
      <c r="C291" s="30">
        <v>247236.14207098942</v>
      </c>
    </row>
    <row r="292" spans="1:3">
      <c r="A292">
        <v>2040</v>
      </c>
      <c r="B292" t="s">
        <v>119</v>
      </c>
      <c r="C292" s="30">
        <v>247236.14207098942</v>
      </c>
    </row>
    <row r="293" spans="1:3">
      <c r="A293">
        <v>2041</v>
      </c>
      <c r="B293" t="s">
        <v>119</v>
      </c>
      <c r="C293" s="30">
        <v>247236.14207098942</v>
      </c>
    </row>
    <row r="294" spans="1:3">
      <c r="A294">
        <v>2042</v>
      </c>
      <c r="B294" t="s">
        <v>119</v>
      </c>
      <c r="C294" s="30">
        <v>247236.14207098942</v>
      </c>
    </row>
    <row r="295" spans="1:3">
      <c r="A295">
        <v>2043</v>
      </c>
      <c r="B295" t="s">
        <v>119</v>
      </c>
      <c r="C295" s="30">
        <v>247236.14207098942</v>
      </c>
    </row>
    <row r="296" spans="1:3">
      <c r="A296">
        <v>2044</v>
      </c>
      <c r="B296" t="s">
        <v>119</v>
      </c>
      <c r="C296" s="30">
        <v>247236.14207098942</v>
      </c>
    </row>
    <row r="297" spans="1:3">
      <c r="A297">
        <v>2045</v>
      </c>
      <c r="B297" t="s">
        <v>119</v>
      </c>
      <c r="C297" s="30">
        <v>247236.14207098942</v>
      </c>
    </row>
    <row r="298" spans="1:3">
      <c r="A298">
        <v>2046</v>
      </c>
      <c r="B298" t="s">
        <v>119</v>
      </c>
      <c r="C298" s="30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3"/>
  <sheetViews>
    <sheetView workbookViewId="0">
      <selection activeCell="E29" sqref="E29"/>
    </sheetView>
  </sheetViews>
  <sheetFormatPr defaultRowHeight="14.45"/>
  <cols>
    <col min="2" max="2" width="17.42578125" bestFit="1" customWidth="1"/>
    <col min="3" max="3" width="18.140625" bestFit="1" customWidth="1"/>
    <col min="4" max="4" width="16.5703125" bestFit="1" customWidth="1"/>
    <col min="5" max="5" width="14.5703125" bestFit="1" customWidth="1"/>
    <col min="6" max="6" width="10" bestFit="1" customWidth="1"/>
    <col min="7" max="7" width="14.5703125" bestFit="1" customWidth="1"/>
    <col min="9" max="9" width="12" bestFit="1" customWidth="1"/>
  </cols>
  <sheetData>
    <row r="1" spans="1:16">
      <c r="A1" s="1" t="s">
        <v>0</v>
      </c>
      <c r="B1" s="1" t="s">
        <v>16</v>
      </c>
      <c r="C1" s="1" t="s">
        <v>2</v>
      </c>
      <c r="D1" s="1" t="s">
        <v>17</v>
      </c>
    </row>
    <row r="2" spans="1:16">
      <c r="A2">
        <v>2022</v>
      </c>
      <c r="B2" t="s">
        <v>18</v>
      </c>
      <c r="C2" s="17">
        <f>E2*126.13</f>
        <v>35463211157.709999</v>
      </c>
      <c r="D2" t="s">
        <v>19</v>
      </c>
      <c r="E2" s="2">
        <v>281163967</v>
      </c>
      <c r="J2" s="38"/>
      <c r="N2" s="38"/>
      <c r="P2" s="32"/>
    </row>
    <row r="3" spans="1:16">
      <c r="A3">
        <v>2022</v>
      </c>
      <c r="B3" t="s">
        <v>20</v>
      </c>
      <c r="C3" s="17">
        <f>129.65*E3</f>
        <v>180737974441.5</v>
      </c>
      <c r="D3" t="s">
        <v>19</v>
      </c>
      <c r="E3" s="2">
        <v>1394045310</v>
      </c>
      <c r="J3" s="38"/>
      <c r="N3" s="38"/>
    </row>
    <row r="4" spans="1:16">
      <c r="A4">
        <v>2023</v>
      </c>
      <c r="B4" t="s">
        <v>20</v>
      </c>
      <c r="C4" s="17">
        <f t="shared" ref="C4:C5" si="0">129.65*E4</f>
        <v>246335000000</v>
      </c>
      <c r="D4" t="s">
        <v>21</v>
      </c>
      <c r="E4" s="2">
        <v>1900000000</v>
      </c>
      <c r="J4" s="38"/>
      <c r="N4" s="38"/>
    </row>
    <row r="5" spans="1:16">
      <c r="A5">
        <v>2024</v>
      </c>
      <c r="B5" t="s">
        <v>20</v>
      </c>
      <c r="C5" s="17">
        <f t="shared" si="0"/>
        <v>272265000000</v>
      </c>
      <c r="D5" t="s">
        <v>22</v>
      </c>
      <c r="E5" s="2">
        <v>2100000000</v>
      </c>
      <c r="J5" s="38"/>
      <c r="N5" s="38"/>
    </row>
    <row r="6" spans="1:16">
      <c r="A6">
        <v>2022</v>
      </c>
      <c r="B6" t="s">
        <v>23</v>
      </c>
      <c r="C6" s="17">
        <v>5568655430</v>
      </c>
      <c r="D6" t="s">
        <v>19</v>
      </c>
      <c r="J6" s="38"/>
    </row>
    <row r="7" spans="1:16">
      <c r="A7">
        <v>2022</v>
      </c>
      <c r="B7" t="s">
        <v>24</v>
      </c>
      <c r="C7" s="17">
        <f>81.51*E7*0.85</f>
        <v>7172350551.7950001</v>
      </c>
      <c r="D7" t="s">
        <v>19</v>
      </c>
      <c r="E7" s="17">
        <v>103521770</v>
      </c>
      <c r="J7" s="38"/>
    </row>
    <row r="8" spans="1:16">
      <c r="A8">
        <v>2022</v>
      </c>
      <c r="B8" t="s">
        <v>25</v>
      </c>
      <c r="C8" s="17">
        <f>E8*126.37*0.5</f>
        <v>733235955.96500003</v>
      </c>
      <c r="D8" t="s">
        <v>19</v>
      </c>
      <c r="E8" s="29">
        <v>11604589</v>
      </c>
    </row>
    <row r="9" spans="1:16">
      <c r="A9">
        <v>2022</v>
      </c>
      <c r="B9" t="s">
        <v>26</v>
      </c>
      <c r="C9" s="17">
        <f>E8*126.37*0.5</f>
        <v>733235955.96500003</v>
      </c>
      <c r="D9" t="s">
        <v>27</v>
      </c>
    </row>
    <row r="10" spans="1:16" ht="15.6">
      <c r="A10">
        <v>2025</v>
      </c>
      <c r="B10" t="s">
        <v>25</v>
      </c>
      <c r="C10" s="17">
        <v>3522654357.29</v>
      </c>
      <c r="D10" t="s">
        <v>27</v>
      </c>
      <c r="E10" s="40"/>
    </row>
    <row r="11" spans="1:16" ht="15.6">
      <c r="A11">
        <v>2026</v>
      </c>
      <c r="B11" t="s">
        <v>25</v>
      </c>
      <c r="C11" s="17">
        <v>4574666504.7875004</v>
      </c>
      <c r="D11" t="s">
        <v>27</v>
      </c>
      <c r="E11" s="40"/>
    </row>
    <row r="12" spans="1:16" ht="15.6">
      <c r="A12">
        <v>2027</v>
      </c>
      <c r="B12" t="s">
        <v>25</v>
      </c>
      <c r="C12" s="17">
        <v>5626678620.6925001</v>
      </c>
      <c r="D12" t="s">
        <v>27</v>
      </c>
      <c r="E12" s="40"/>
    </row>
    <row r="13" spans="1:16" ht="15.6">
      <c r="A13">
        <v>2028</v>
      </c>
      <c r="B13" t="s">
        <v>25</v>
      </c>
      <c r="C13" s="17">
        <v>6678690736.5974998</v>
      </c>
      <c r="D13" t="s">
        <v>27</v>
      </c>
      <c r="E13" s="40"/>
    </row>
    <row r="14" spans="1:16" ht="15.6">
      <c r="A14">
        <v>2029</v>
      </c>
      <c r="B14" t="s">
        <v>25</v>
      </c>
      <c r="C14" s="17">
        <v>7730702884.0950003</v>
      </c>
      <c r="D14" t="s">
        <v>27</v>
      </c>
      <c r="E14" s="40"/>
    </row>
    <row r="15" spans="1:16" ht="15.6">
      <c r="A15">
        <v>2030</v>
      </c>
      <c r="B15" t="s">
        <v>25</v>
      </c>
      <c r="C15" s="17">
        <v>8782715000</v>
      </c>
      <c r="D15" t="s">
        <v>27</v>
      </c>
      <c r="E15" s="40"/>
    </row>
    <row r="16" spans="1:16" ht="15.6">
      <c r="A16">
        <v>2031</v>
      </c>
      <c r="B16" t="s">
        <v>25</v>
      </c>
      <c r="C16" s="17">
        <v>9236737988.9974995</v>
      </c>
      <c r="D16" t="s">
        <v>27</v>
      </c>
      <c r="E16" s="40"/>
    </row>
    <row r="17" spans="1:5" ht="15.6">
      <c r="A17">
        <v>2032</v>
      </c>
      <c r="B17" t="s">
        <v>25</v>
      </c>
      <c r="C17" s="17">
        <v>9690760977.9950008</v>
      </c>
      <c r="D17" t="s">
        <v>27</v>
      </c>
      <c r="E17" s="40"/>
    </row>
    <row r="18" spans="1:5" ht="15.6">
      <c r="A18">
        <v>2033</v>
      </c>
      <c r="B18" t="s">
        <v>25</v>
      </c>
      <c r="C18" s="17">
        <v>10144783966.9925</v>
      </c>
      <c r="D18" t="s">
        <v>27</v>
      </c>
      <c r="E18" s="40"/>
    </row>
    <row r="19" spans="1:5" ht="15.6">
      <c r="A19">
        <v>2034</v>
      </c>
      <c r="B19" t="s">
        <v>25</v>
      </c>
      <c r="C19" s="17">
        <v>10598806955.99</v>
      </c>
      <c r="D19" t="s">
        <v>27</v>
      </c>
      <c r="E19" s="40"/>
    </row>
    <row r="20" spans="1:5" ht="15.6">
      <c r="A20">
        <v>2035</v>
      </c>
      <c r="B20" t="s">
        <v>25</v>
      </c>
      <c r="C20" s="17">
        <v>11052829944.987501</v>
      </c>
      <c r="D20" t="s">
        <v>27</v>
      </c>
      <c r="E20" s="40"/>
    </row>
    <row r="21" spans="1:5" ht="15.6">
      <c r="A21">
        <v>2036</v>
      </c>
      <c r="B21" t="s">
        <v>25</v>
      </c>
      <c r="C21" s="17">
        <v>11506852933.985001</v>
      </c>
      <c r="D21" t="s">
        <v>27</v>
      </c>
      <c r="E21" s="40"/>
    </row>
    <row r="22" spans="1:5" ht="15.6">
      <c r="A22">
        <v>2037</v>
      </c>
      <c r="B22" t="s">
        <v>25</v>
      </c>
      <c r="C22" s="17">
        <v>11960875922.9825</v>
      </c>
      <c r="D22" t="s">
        <v>27</v>
      </c>
      <c r="E22" s="40"/>
    </row>
    <row r="23" spans="1:5" ht="15.6">
      <c r="A23">
        <v>2038</v>
      </c>
      <c r="B23" t="s">
        <v>25</v>
      </c>
      <c r="C23" s="17">
        <v>12414898911.98</v>
      </c>
      <c r="D23" t="s">
        <v>27</v>
      </c>
      <c r="E23" s="40"/>
    </row>
    <row r="24" spans="1:5" ht="15.6">
      <c r="A24">
        <v>2039</v>
      </c>
      <c r="B24" t="s">
        <v>25</v>
      </c>
      <c r="C24" s="17">
        <v>12868921900.977501</v>
      </c>
      <c r="D24" t="s">
        <v>27</v>
      </c>
      <c r="E24" s="40"/>
    </row>
    <row r="25" spans="1:5" ht="15.6">
      <c r="A25">
        <v>2040</v>
      </c>
      <c r="B25" t="s">
        <v>25</v>
      </c>
      <c r="C25" s="17">
        <v>13322944889.975</v>
      </c>
      <c r="D25" t="s">
        <v>27</v>
      </c>
      <c r="E25" s="40"/>
    </row>
    <row r="26" spans="1:5" ht="15.6">
      <c r="A26">
        <v>2041</v>
      </c>
      <c r="B26" t="s">
        <v>25</v>
      </c>
      <c r="C26" s="17">
        <v>13776967878.9725</v>
      </c>
      <c r="D26" t="s">
        <v>27</v>
      </c>
      <c r="E26" s="40"/>
    </row>
    <row r="27" spans="1:5" ht="15.6">
      <c r="A27">
        <v>2042</v>
      </c>
      <c r="B27" t="s">
        <v>25</v>
      </c>
      <c r="C27" s="17">
        <v>14230990867.970001</v>
      </c>
      <c r="D27" t="s">
        <v>27</v>
      </c>
      <c r="E27" s="40"/>
    </row>
    <row r="28" spans="1:5" ht="15.6">
      <c r="A28">
        <v>2043</v>
      </c>
      <c r="B28" t="s">
        <v>25</v>
      </c>
      <c r="C28" s="17">
        <v>14685013856.967501</v>
      </c>
      <c r="D28" t="s">
        <v>27</v>
      </c>
      <c r="E28" s="40"/>
    </row>
    <row r="29" spans="1:5" ht="15.6">
      <c r="A29">
        <v>2044</v>
      </c>
      <c r="B29" t="s">
        <v>25</v>
      </c>
      <c r="C29" s="17">
        <v>15139036845.965</v>
      </c>
      <c r="D29" t="s">
        <v>27</v>
      </c>
      <c r="E29" s="40"/>
    </row>
    <row r="30" spans="1:5" ht="15.6">
      <c r="A30">
        <v>2045</v>
      </c>
      <c r="B30" t="s">
        <v>25</v>
      </c>
      <c r="C30" s="17">
        <v>15593059834.9625</v>
      </c>
      <c r="D30" t="s">
        <v>27</v>
      </c>
      <c r="E30" s="40"/>
    </row>
    <row r="31" spans="1:5" ht="15.6">
      <c r="A31">
        <v>2046</v>
      </c>
      <c r="B31" t="s">
        <v>25</v>
      </c>
      <c r="C31" s="17">
        <v>15593059834.9625</v>
      </c>
      <c r="D31" t="s">
        <v>27</v>
      </c>
      <c r="E31" s="40"/>
    </row>
    <row r="32" spans="1:5">
      <c r="A32">
        <v>2025</v>
      </c>
      <c r="B32" t="s">
        <v>26</v>
      </c>
      <c r="C32" s="17">
        <v>3522654357.29</v>
      </c>
      <c r="D32" t="s">
        <v>27</v>
      </c>
    </row>
    <row r="33" spans="1:4">
      <c r="A33">
        <v>2026</v>
      </c>
      <c r="B33" t="s">
        <v>26</v>
      </c>
      <c r="C33" s="17">
        <v>4574666504.7875004</v>
      </c>
      <c r="D33" t="s">
        <v>27</v>
      </c>
    </row>
    <row r="34" spans="1:4">
      <c r="A34">
        <v>2027</v>
      </c>
      <c r="B34" t="s">
        <v>26</v>
      </c>
      <c r="C34" s="17">
        <v>5626678620.6925001</v>
      </c>
      <c r="D34" t="s">
        <v>27</v>
      </c>
    </row>
    <row r="35" spans="1:4">
      <c r="A35">
        <v>2028</v>
      </c>
      <c r="B35" t="s">
        <v>26</v>
      </c>
      <c r="C35" s="17">
        <v>6678690736.5974998</v>
      </c>
      <c r="D35" t="s">
        <v>27</v>
      </c>
    </row>
    <row r="36" spans="1:4">
      <c r="A36">
        <v>2029</v>
      </c>
      <c r="B36" t="s">
        <v>26</v>
      </c>
      <c r="C36" s="17">
        <v>7730702884.0950003</v>
      </c>
      <c r="D36" t="s">
        <v>27</v>
      </c>
    </row>
    <row r="37" spans="1:4">
      <c r="A37">
        <v>2030</v>
      </c>
      <c r="B37" t="s">
        <v>26</v>
      </c>
      <c r="C37" s="17">
        <v>8782715000</v>
      </c>
      <c r="D37" t="s">
        <v>27</v>
      </c>
    </row>
    <row r="38" spans="1:4">
      <c r="A38">
        <v>2031</v>
      </c>
      <c r="B38" t="s">
        <v>26</v>
      </c>
      <c r="C38" s="17">
        <v>9236737988.9974995</v>
      </c>
      <c r="D38" t="s">
        <v>27</v>
      </c>
    </row>
    <row r="39" spans="1:4">
      <c r="A39">
        <v>2032</v>
      </c>
      <c r="B39" t="s">
        <v>26</v>
      </c>
      <c r="C39" s="17">
        <v>9690760977.9950008</v>
      </c>
      <c r="D39" t="s">
        <v>27</v>
      </c>
    </row>
    <row r="40" spans="1:4">
      <c r="A40">
        <v>2033</v>
      </c>
      <c r="B40" t="s">
        <v>26</v>
      </c>
      <c r="C40" s="17">
        <v>10144783966.9925</v>
      </c>
      <c r="D40" t="s">
        <v>27</v>
      </c>
    </row>
    <row r="41" spans="1:4">
      <c r="A41">
        <v>2034</v>
      </c>
      <c r="B41" t="s">
        <v>26</v>
      </c>
      <c r="C41" s="17">
        <v>10598806955.99</v>
      </c>
      <c r="D41" t="s">
        <v>27</v>
      </c>
    </row>
    <row r="42" spans="1:4">
      <c r="A42">
        <v>2035</v>
      </c>
      <c r="B42" t="s">
        <v>26</v>
      </c>
      <c r="C42" s="17">
        <v>11052829944.987501</v>
      </c>
      <c r="D42" t="s">
        <v>27</v>
      </c>
    </row>
    <row r="43" spans="1:4">
      <c r="A43">
        <v>2036</v>
      </c>
      <c r="B43" t="s">
        <v>26</v>
      </c>
      <c r="C43" s="17">
        <v>11506852933.985001</v>
      </c>
      <c r="D43" t="s">
        <v>27</v>
      </c>
    </row>
    <row r="44" spans="1:4">
      <c r="A44">
        <v>2037</v>
      </c>
      <c r="B44" t="s">
        <v>26</v>
      </c>
      <c r="C44" s="17">
        <v>11960875922.9825</v>
      </c>
      <c r="D44" t="s">
        <v>27</v>
      </c>
    </row>
    <row r="45" spans="1:4">
      <c r="A45">
        <v>2038</v>
      </c>
      <c r="B45" t="s">
        <v>26</v>
      </c>
      <c r="C45" s="17">
        <v>12414898911.98</v>
      </c>
      <c r="D45" t="s">
        <v>27</v>
      </c>
    </row>
    <row r="46" spans="1:4">
      <c r="A46">
        <v>2039</v>
      </c>
      <c r="B46" t="s">
        <v>26</v>
      </c>
      <c r="C46" s="17">
        <v>12868921900.977501</v>
      </c>
      <c r="D46" t="s">
        <v>27</v>
      </c>
    </row>
    <row r="47" spans="1:4">
      <c r="A47">
        <v>2040</v>
      </c>
      <c r="B47" t="s">
        <v>26</v>
      </c>
      <c r="C47" s="17">
        <v>13322944889.975</v>
      </c>
      <c r="D47" t="s">
        <v>27</v>
      </c>
    </row>
    <row r="48" spans="1:4">
      <c r="A48">
        <v>2041</v>
      </c>
      <c r="B48" t="s">
        <v>26</v>
      </c>
      <c r="C48" s="17">
        <v>13776967878.9725</v>
      </c>
      <c r="D48" t="s">
        <v>27</v>
      </c>
    </row>
    <row r="49" spans="1:4">
      <c r="A49">
        <v>2042</v>
      </c>
      <c r="B49" t="s">
        <v>26</v>
      </c>
      <c r="C49" s="17">
        <v>14230990867.970001</v>
      </c>
      <c r="D49" t="s">
        <v>27</v>
      </c>
    </row>
    <row r="50" spans="1:4">
      <c r="A50">
        <v>2043</v>
      </c>
      <c r="B50" t="s">
        <v>26</v>
      </c>
      <c r="C50" s="17">
        <v>14685013856.967501</v>
      </c>
      <c r="D50" t="s">
        <v>27</v>
      </c>
    </row>
    <row r="51" spans="1:4">
      <c r="A51">
        <v>2044</v>
      </c>
      <c r="B51" t="s">
        <v>26</v>
      </c>
      <c r="C51" s="17">
        <v>15139036845.965</v>
      </c>
      <c r="D51" t="s">
        <v>27</v>
      </c>
    </row>
    <row r="52" spans="1:4">
      <c r="A52">
        <v>2045</v>
      </c>
      <c r="B52" t="s">
        <v>26</v>
      </c>
      <c r="C52" s="17">
        <v>15593059834.9625</v>
      </c>
      <c r="D52" t="s">
        <v>27</v>
      </c>
    </row>
    <row r="53" spans="1:4">
      <c r="A53">
        <v>2046</v>
      </c>
      <c r="B53" t="s">
        <v>26</v>
      </c>
      <c r="C53" s="17">
        <v>15593059834.9625</v>
      </c>
      <c r="D53" t="s">
        <v>27</v>
      </c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6"/>
  <sheetViews>
    <sheetView zoomScale="84" zoomScaleNormal="110" workbookViewId="0">
      <selection activeCell="M23" sqref="M23"/>
    </sheetView>
  </sheetViews>
  <sheetFormatPr defaultRowHeight="14.4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1" t="s">
        <v>0</v>
      </c>
      <c r="B1" s="1" t="s">
        <v>16</v>
      </c>
      <c r="C1" s="1" t="s">
        <v>28</v>
      </c>
      <c r="D1" s="1" t="s">
        <v>1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</row>
    <row r="2" spans="1:22">
      <c r="A2">
        <v>2022</v>
      </c>
      <c r="B2" t="s">
        <v>47</v>
      </c>
      <c r="D2" s="25" t="s">
        <v>15</v>
      </c>
      <c r="E2" t="s">
        <v>15</v>
      </c>
      <c r="F2">
        <v>1001</v>
      </c>
      <c r="G2" t="s">
        <v>48</v>
      </c>
      <c r="H2">
        <v>1</v>
      </c>
      <c r="I2" t="s">
        <v>49</v>
      </c>
      <c r="J2">
        <f>-1000000</f>
        <v>-1000000</v>
      </c>
      <c r="K2" t="s">
        <v>50</v>
      </c>
      <c r="L2">
        <v>1</v>
      </c>
      <c r="M2" t="s">
        <v>51</v>
      </c>
      <c r="P2" t="s">
        <v>52</v>
      </c>
      <c r="Q2" t="s">
        <v>53</v>
      </c>
      <c r="S2" t="s">
        <v>52</v>
      </c>
      <c r="T2" t="s">
        <v>54</v>
      </c>
      <c r="U2">
        <f>1/1000000</f>
        <v>9.9999999999999995E-7</v>
      </c>
    </row>
    <row r="3" spans="1:22" s="41" customFormat="1">
      <c r="A3" s="41">
        <v>2022</v>
      </c>
      <c r="B3" s="41" t="s">
        <v>25</v>
      </c>
      <c r="C3" s="41" t="s">
        <v>55</v>
      </c>
      <c r="D3" s="41" t="s">
        <v>14</v>
      </c>
      <c r="E3" s="41" t="s">
        <v>56</v>
      </c>
      <c r="F3" s="41">
        <f>961+53</f>
        <v>1014</v>
      </c>
      <c r="G3" s="41" t="s">
        <v>57</v>
      </c>
      <c r="H3" s="41">
        <v>37437</v>
      </c>
      <c r="I3" s="41" t="s">
        <v>58</v>
      </c>
      <c r="J3" s="41">
        <v>56</v>
      </c>
      <c r="K3" s="41" t="s">
        <v>59</v>
      </c>
      <c r="L3" s="41">
        <v>1</v>
      </c>
      <c r="M3" s="41" t="s">
        <v>60</v>
      </c>
      <c r="N3" s="41">
        <v>2.1000000000000001E-2</v>
      </c>
      <c r="O3" s="41" t="s">
        <v>61</v>
      </c>
      <c r="P3" s="41" t="s">
        <v>56</v>
      </c>
      <c r="Q3" s="41" t="s">
        <v>62</v>
      </c>
      <c r="S3" s="41" t="s">
        <v>63</v>
      </c>
      <c r="T3" s="41" t="s">
        <v>64</v>
      </c>
      <c r="U3" s="41">
        <f>1/126.37/1000000</f>
        <v>7.913270554720267E-9</v>
      </c>
    </row>
    <row r="4" spans="1:22" s="41" customFormat="1">
      <c r="A4" s="41">
        <v>2022</v>
      </c>
      <c r="B4" s="41" t="s">
        <v>26</v>
      </c>
      <c r="C4" s="41" t="s">
        <v>55</v>
      </c>
      <c r="D4" s="41" t="s">
        <v>14</v>
      </c>
      <c r="E4" s="41" t="s">
        <v>65</v>
      </c>
      <c r="F4" s="41">
        <f>1155+53</f>
        <v>1208</v>
      </c>
      <c r="G4" s="41" t="s">
        <v>57</v>
      </c>
      <c r="H4" s="41">
        <v>36259</v>
      </c>
      <c r="I4" s="41" t="s">
        <v>58</v>
      </c>
      <c r="J4" s="41">
        <v>31</v>
      </c>
      <c r="K4" s="41" t="s">
        <v>59</v>
      </c>
      <c r="L4" s="41">
        <v>1</v>
      </c>
      <c r="M4" s="41" t="s">
        <v>66</v>
      </c>
      <c r="N4" s="41">
        <v>2.4E-2</v>
      </c>
      <c r="O4" s="41" t="s">
        <v>61</v>
      </c>
      <c r="P4" s="41" t="s">
        <v>65</v>
      </c>
      <c r="Q4" s="41" t="s">
        <v>62</v>
      </c>
      <c r="S4" s="41" t="s">
        <v>67</v>
      </c>
      <c r="T4" s="41" t="s">
        <v>64</v>
      </c>
      <c r="U4" s="41">
        <f>1/126.37/1000000</f>
        <v>7.913270554720267E-9</v>
      </c>
    </row>
    <row r="5" spans="1:22" s="41" customFormat="1">
      <c r="A5" s="41">
        <v>2022</v>
      </c>
      <c r="B5" s="41" t="s">
        <v>68</v>
      </c>
      <c r="C5" s="41" t="s">
        <v>69</v>
      </c>
      <c r="D5" s="41" t="s">
        <v>15</v>
      </c>
      <c r="E5" s="41" t="s">
        <v>15</v>
      </c>
      <c r="F5" s="41">
        <v>221.67</v>
      </c>
      <c r="G5" s="41" t="s">
        <v>48</v>
      </c>
      <c r="H5" s="41">
        <v>1</v>
      </c>
      <c r="I5" s="41" t="s">
        <v>49</v>
      </c>
      <c r="J5" s="41">
        <f>-1000000</f>
        <v>-1000000</v>
      </c>
      <c r="K5" s="41" t="s">
        <v>50</v>
      </c>
      <c r="L5" s="41">
        <v>1</v>
      </c>
      <c r="M5" s="41" t="s">
        <v>51</v>
      </c>
      <c r="P5" s="41" t="s">
        <v>68</v>
      </c>
      <c r="Q5" s="41" t="s">
        <v>53</v>
      </c>
      <c r="S5" s="41" t="s">
        <v>68</v>
      </c>
      <c r="T5" s="41" t="s">
        <v>54</v>
      </c>
      <c r="U5" s="41">
        <f>1/1000000</f>
        <v>9.9999999999999995E-7</v>
      </c>
    </row>
    <row r="6" spans="1:22" s="41" customFormat="1">
      <c r="A6" s="41">
        <v>2022</v>
      </c>
      <c r="B6" s="41" t="s">
        <v>18</v>
      </c>
      <c r="C6" s="41" t="s">
        <v>55</v>
      </c>
      <c r="D6" s="41" t="s">
        <v>7</v>
      </c>
      <c r="E6" s="41" t="s">
        <v>56</v>
      </c>
      <c r="F6" s="41">
        <f>53+53</f>
        <v>106</v>
      </c>
      <c r="G6" s="41" t="s">
        <v>57</v>
      </c>
      <c r="H6" s="41">
        <v>31520</v>
      </c>
      <c r="I6" s="41" t="s">
        <v>58</v>
      </c>
      <c r="J6" s="41">
        <f>55+4.78</f>
        <v>59.78</v>
      </c>
      <c r="K6" s="41" t="s">
        <v>59</v>
      </c>
      <c r="L6" s="41">
        <v>1</v>
      </c>
      <c r="N6" s="41">
        <v>1.7000000000000001E-2</v>
      </c>
      <c r="O6" s="41" t="s">
        <v>61</v>
      </c>
      <c r="P6" s="41" t="s">
        <v>56</v>
      </c>
      <c r="Q6" s="41" t="s">
        <v>70</v>
      </c>
      <c r="R6" s="41" t="s">
        <v>71</v>
      </c>
      <c r="S6" s="41" t="s">
        <v>18</v>
      </c>
      <c r="T6" s="41" t="s">
        <v>64</v>
      </c>
      <c r="U6" s="41">
        <f>1/126.13/1000000</f>
        <v>7.9283279156425911E-9</v>
      </c>
    </row>
    <row r="7" spans="1:22" s="41" customFormat="1">
      <c r="A7" s="41">
        <v>2022</v>
      </c>
      <c r="B7" s="41" t="s">
        <v>18</v>
      </c>
      <c r="C7" s="41" t="s">
        <v>55</v>
      </c>
      <c r="D7" s="41" t="s">
        <v>7</v>
      </c>
      <c r="E7" s="41" t="s">
        <v>65</v>
      </c>
      <c r="F7" s="41">
        <f>330+53</f>
        <v>383</v>
      </c>
      <c r="G7" s="41" t="s">
        <v>57</v>
      </c>
      <c r="H7" s="41">
        <v>34064</v>
      </c>
      <c r="I7" s="41" t="s">
        <v>58</v>
      </c>
      <c r="J7" s="41">
        <f>25+4.78</f>
        <v>29.78</v>
      </c>
      <c r="K7" s="41" t="s">
        <v>59</v>
      </c>
      <c r="L7" s="41">
        <v>1</v>
      </c>
      <c r="N7" s="41">
        <v>1.7000000000000001E-2</v>
      </c>
      <c r="O7" s="41" t="s">
        <v>61</v>
      </c>
      <c r="P7" s="41" t="s">
        <v>65</v>
      </c>
      <c r="Q7" s="41" t="s">
        <v>70</v>
      </c>
      <c r="R7" s="41" t="s">
        <v>71</v>
      </c>
      <c r="S7" s="41" t="s">
        <v>18</v>
      </c>
      <c r="T7" s="41" t="s">
        <v>64</v>
      </c>
      <c r="U7" s="41">
        <f>1/126.13/1000000</f>
        <v>7.9283279156425911E-9</v>
      </c>
    </row>
    <row r="8" spans="1:22" s="41" customFormat="1">
      <c r="A8" s="41">
        <v>2024</v>
      </c>
      <c r="B8" s="41" t="s">
        <v>72</v>
      </c>
      <c r="C8" s="41" t="s">
        <v>55</v>
      </c>
      <c r="D8" s="41" t="s">
        <v>4</v>
      </c>
      <c r="E8" s="41" t="s">
        <v>73</v>
      </c>
      <c r="F8" s="41">
        <v>22</v>
      </c>
      <c r="G8" s="41" t="s">
        <v>74</v>
      </c>
      <c r="H8" s="41">
        <v>4687</v>
      </c>
      <c r="I8" s="41" t="s">
        <v>75</v>
      </c>
      <c r="J8" s="41">
        <v>100.82</v>
      </c>
      <c r="K8" s="41" t="s">
        <v>59</v>
      </c>
      <c r="L8" s="41">
        <v>1</v>
      </c>
      <c r="M8" s="41" t="s">
        <v>76</v>
      </c>
      <c r="P8" s="41" t="s">
        <v>77</v>
      </c>
      <c r="Q8" s="41" t="s">
        <v>78</v>
      </c>
      <c r="S8" s="41" t="s">
        <v>72</v>
      </c>
      <c r="T8" s="41" t="s">
        <v>64</v>
      </c>
      <c r="U8" s="41">
        <f>1/119.53/1000000</f>
        <v>8.3661005605287371E-9</v>
      </c>
    </row>
    <row r="9" spans="1:22" s="41" customFormat="1">
      <c r="A9" s="41">
        <v>2025</v>
      </c>
      <c r="B9" s="41" t="s">
        <v>72</v>
      </c>
      <c r="C9" s="41" t="s">
        <v>55</v>
      </c>
      <c r="D9" s="41" t="s">
        <v>4</v>
      </c>
      <c r="E9" s="41" t="s">
        <v>73</v>
      </c>
      <c r="F9" s="41">
        <v>22</v>
      </c>
      <c r="G9" s="41" t="s">
        <v>74</v>
      </c>
      <c r="H9" s="41">
        <v>4687</v>
      </c>
      <c r="I9" s="41" t="s">
        <v>75</v>
      </c>
      <c r="J9" s="41">
        <v>100.5</v>
      </c>
      <c r="K9" s="41" t="s">
        <v>59</v>
      </c>
      <c r="L9" s="41">
        <v>1</v>
      </c>
      <c r="M9" s="41" t="s">
        <v>76</v>
      </c>
      <c r="P9" s="41" t="s">
        <v>77</v>
      </c>
      <c r="Q9" s="41" t="s">
        <v>78</v>
      </c>
      <c r="S9" s="41" t="s">
        <v>72</v>
      </c>
      <c r="T9" s="41" t="s">
        <v>64</v>
      </c>
      <c r="U9" s="41">
        <f>1/119.53/1000000</f>
        <v>8.3661005605287371E-9</v>
      </c>
    </row>
    <row r="10" spans="1:22" s="41" customFormat="1">
      <c r="A10" s="41">
        <v>2022</v>
      </c>
      <c r="B10" s="41" t="s">
        <v>12</v>
      </c>
      <c r="C10" s="41" t="s">
        <v>79</v>
      </c>
      <c r="D10" s="41" t="s">
        <v>12</v>
      </c>
      <c r="E10" s="41" t="s">
        <v>80</v>
      </c>
      <c r="F10" s="41">
        <v>11.4</v>
      </c>
      <c r="G10" s="41" t="s">
        <v>81</v>
      </c>
      <c r="H10" s="41">
        <v>1055</v>
      </c>
      <c r="I10" s="41" t="s">
        <v>82</v>
      </c>
      <c r="J10" s="41">
        <v>79.2</v>
      </c>
      <c r="K10" s="41" t="s">
        <v>59</v>
      </c>
      <c r="L10" s="41">
        <v>1</v>
      </c>
      <c r="M10" s="41" t="s">
        <v>83</v>
      </c>
      <c r="P10" s="41" t="s">
        <v>84</v>
      </c>
      <c r="Q10" s="41" t="s">
        <v>70</v>
      </c>
      <c r="S10" s="41" t="s">
        <v>85</v>
      </c>
      <c r="T10" s="41" t="s">
        <v>86</v>
      </c>
      <c r="U10" s="41">
        <f>1/134.47/1000000</f>
        <v>7.436602959767978E-9</v>
      </c>
    </row>
    <row r="11" spans="1:22" s="41" customFormat="1">
      <c r="A11" s="41">
        <v>2040</v>
      </c>
      <c r="B11" s="41" t="s">
        <v>23</v>
      </c>
      <c r="C11" s="41" t="s">
        <v>79</v>
      </c>
      <c r="D11" s="41" t="s">
        <v>12</v>
      </c>
      <c r="E11" s="41" t="s">
        <v>87</v>
      </c>
      <c r="F11" s="41">
        <v>11.4</v>
      </c>
      <c r="G11" s="41" t="s">
        <v>81</v>
      </c>
      <c r="H11" s="41">
        <v>1055</v>
      </c>
      <c r="I11" s="41" t="s">
        <v>82</v>
      </c>
      <c r="J11" s="41">
        <v>-293</v>
      </c>
      <c r="K11" s="41" t="s">
        <v>59</v>
      </c>
      <c r="L11" s="41">
        <v>0.9</v>
      </c>
      <c r="N11" s="42">
        <f>3/77000*1000000/1055</f>
        <v>3.6929894749799963E-2</v>
      </c>
      <c r="O11" s="41" t="s">
        <v>61</v>
      </c>
      <c r="P11" s="41" t="s">
        <v>88</v>
      </c>
      <c r="Q11" s="41" t="s">
        <v>70</v>
      </c>
      <c r="S11" s="41" t="s">
        <v>89</v>
      </c>
      <c r="T11" s="41" t="s">
        <v>86</v>
      </c>
      <c r="U11" s="41">
        <f>1/134.47/1000000</f>
        <v>7.436602959767978E-9</v>
      </c>
    </row>
    <row r="12" spans="1:22" s="41" customFormat="1">
      <c r="A12" s="41">
        <v>2040</v>
      </c>
      <c r="B12" s="41" t="s">
        <v>23</v>
      </c>
      <c r="C12" s="41" t="s">
        <v>79</v>
      </c>
      <c r="D12" s="41" t="s">
        <v>12</v>
      </c>
      <c r="E12" s="41" t="s">
        <v>90</v>
      </c>
      <c r="F12" s="41">
        <v>11.4</v>
      </c>
      <c r="G12" s="41" t="s">
        <v>81</v>
      </c>
      <c r="H12" s="41">
        <v>1055</v>
      </c>
      <c r="I12" s="41" t="s">
        <v>82</v>
      </c>
      <c r="J12" s="41">
        <v>-293</v>
      </c>
      <c r="K12" s="41" t="s">
        <v>59</v>
      </c>
      <c r="L12" s="41">
        <v>0.9</v>
      </c>
      <c r="N12" s="42">
        <f>3/77000*1000000/1055</f>
        <v>3.6929894749799963E-2</v>
      </c>
      <c r="O12" s="41" t="s">
        <v>61</v>
      </c>
      <c r="P12" s="41" t="s">
        <v>91</v>
      </c>
      <c r="Q12" s="41" t="s">
        <v>70</v>
      </c>
      <c r="S12" s="41" t="s">
        <v>89</v>
      </c>
      <c r="T12" s="41" t="s">
        <v>86</v>
      </c>
      <c r="U12" s="41">
        <f>1/134.47/1000000</f>
        <v>7.436602959767978E-9</v>
      </c>
    </row>
    <row r="13" spans="1:22" s="41" customFormat="1">
      <c r="A13" s="41">
        <v>2022</v>
      </c>
      <c r="B13" s="41" t="s">
        <v>92</v>
      </c>
      <c r="C13" s="41" t="s">
        <v>55</v>
      </c>
      <c r="D13" s="41" t="s">
        <v>14</v>
      </c>
      <c r="E13" s="41" t="s">
        <v>73</v>
      </c>
      <c r="F13" s="41">
        <v>0</v>
      </c>
      <c r="G13" s="41" t="s">
        <v>57</v>
      </c>
      <c r="H13" s="41">
        <f>ROUND(33.78*126.37,0)</f>
        <v>4269</v>
      </c>
      <c r="I13" s="41" t="s">
        <v>75</v>
      </c>
      <c r="J13" s="43">
        <f>'LCFS Benchmark'!C58</f>
        <v>89.37</v>
      </c>
      <c r="K13" s="41" t="s">
        <v>59</v>
      </c>
      <c r="L13" s="41">
        <v>1</v>
      </c>
      <c r="P13" s="41" t="s">
        <v>93</v>
      </c>
      <c r="Q13" s="41" t="s">
        <v>62</v>
      </c>
      <c r="S13" s="41" t="s">
        <v>94</v>
      </c>
      <c r="T13" s="41" t="s">
        <v>64</v>
      </c>
      <c r="U13" s="41">
        <f>1/131.15/1000000</f>
        <v>7.6248570339306124E-9</v>
      </c>
    </row>
    <row r="14" spans="1:22" s="41" customFormat="1">
      <c r="A14" s="41">
        <v>2023</v>
      </c>
      <c r="B14" s="41" t="s">
        <v>92</v>
      </c>
      <c r="C14" s="41" t="s">
        <v>55</v>
      </c>
      <c r="D14" s="41" t="s">
        <v>14</v>
      </c>
      <c r="E14" s="41" t="s">
        <v>73</v>
      </c>
      <c r="F14" s="41">
        <v>0</v>
      </c>
      <c r="G14" s="41" t="s">
        <v>57</v>
      </c>
      <c r="H14" s="41">
        <f>ROUND(33.78*126.37,0)</f>
        <v>4269</v>
      </c>
      <c r="I14" s="41" t="s">
        <v>75</v>
      </c>
      <c r="J14" s="43">
        <f>'LCFS Benchmark'!C59</f>
        <v>89.15</v>
      </c>
      <c r="K14" s="41" t="s">
        <v>59</v>
      </c>
      <c r="L14" s="41">
        <v>1</v>
      </c>
      <c r="P14" s="41" t="s">
        <v>93</v>
      </c>
      <c r="Q14" s="41" t="s">
        <v>62</v>
      </c>
      <c r="S14" s="41" t="s">
        <v>94</v>
      </c>
      <c r="T14" s="41" t="s">
        <v>64</v>
      </c>
      <c r="U14" s="41">
        <f>1/131.15/1000000</f>
        <v>7.6248570339306124E-9</v>
      </c>
    </row>
    <row r="15" spans="1:22" s="41" customFormat="1">
      <c r="A15" s="41">
        <v>2024</v>
      </c>
      <c r="B15" s="41" t="s">
        <v>92</v>
      </c>
      <c r="C15" s="41" t="s">
        <v>55</v>
      </c>
      <c r="D15" s="41" t="s">
        <v>14</v>
      </c>
      <c r="E15" s="41" t="s">
        <v>73</v>
      </c>
      <c r="F15" s="41">
        <v>0</v>
      </c>
      <c r="G15" s="41" t="s">
        <v>57</v>
      </c>
      <c r="H15" s="41">
        <f>ROUND(33.78*126.37,0)</f>
        <v>4269</v>
      </c>
      <c r="I15" s="41" t="s">
        <v>75</v>
      </c>
      <c r="J15" s="43">
        <f>'LCFS Benchmark'!C60</f>
        <v>87.89</v>
      </c>
      <c r="K15" s="41" t="s">
        <v>59</v>
      </c>
      <c r="L15" s="41">
        <v>1</v>
      </c>
      <c r="P15" s="41" t="s">
        <v>93</v>
      </c>
      <c r="Q15" s="41" t="s">
        <v>62</v>
      </c>
      <c r="S15" s="41" t="s">
        <v>94</v>
      </c>
      <c r="T15" s="41" t="s">
        <v>64</v>
      </c>
      <c r="U15" s="41">
        <f>1/131.15/1000000</f>
        <v>7.6248570339306124E-9</v>
      </c>
    </row>
    <row r="16" spans="1:22" s="41" customFormat="1">
      <c r="A16" s="41">
        <v>2025</v>
      </c>
      <c r="B16" s="41" t="s">
        <v>92</v>
      </c>
      <c r="C16" s="41" t="s">
        <v>55</v>
      </c>
      <c r="D16" s="41" t="s">
        <v>14</v>
      </c>
      <c r="E16" s="41" t="s">
        <v>73</v>
      </c>
      <c r="F16" s="41">
        <v>0</v>
      </c>
      <c r="G16" s="41" t="s">
        <v>57</v>
      </c>
      <c r="H16" s="41">
        <f t="shared" ref="H16:H37" si="0">ROUND(33.78*126.37,0)</f>
        <v>4269</v>
      </c>
      <c r="I16" s="41" t="s">
        <v>75</v>
      </c>
      <c r="J16" s="43">
        <f>'LCFS Benchmark'!C61</f>
        <v>81.70279066773935</v>
      </c>
      <c r="K16" s="41" t="s">
        <v>59</v>
      </c>
      <c r="L16" s="41">
        <v>1</v>
      </c>
      <c r="P16" s="41" t="s">
        <v>93</v>
      </c>
      <c r="Q16" s="41" t="s">
        <v>62</v>
      </c>
      <c r="S16" s="41" t="s">
        <v>94</v>
      </c>
      <c r="T16" s="41" t="s">
        <v>64</v>
      </c>
      <c r="U16" s="41">
        <f t="shared" ref="U16:U37" si="1">1/131.15/1000000</f>
        <v>7.6248570339306124E-9</v>
      </c>
    </row>
    <row r="17" spans="1:21" s="41" customFormat="1">
      <c r="A17" s="41">
        <v>2026</v>
      </c>
      <c r="B17" s="41" t="s">
        <v>92</v>
      </c>
      <c r="C17" s="41" t="s">
        <v>55</v>
      </c>
      <c r="D17" s="41" t="s">
        <v>14</v>
      </c>
      <c r="E17" s="41" t="s">
        <v>73</v>
      </c>
      <c r="F17" s="41">
        <v>0</v>
      </c>
      <c r="G17" s="41" t="s">
        <v>57</v>
      </c>
      <c r="H17" s="41">
        <f t="shared" si="0"/>
        <v>4269</v>
      </c>
      <c r="I17" s="41" t="s">
        <v>75</v>
      </c>
      <c r="J17" s="43">
        <f>'LCFS Benchmark'!C62</f>
        <v>80.168632534191474</v>
      </c>
      <c r="K17" s="41" t="s">
        <v>59</v>
      </c>
      <c r="L17" s="41">
        <v>1</v>
      </c>
      <c r="P17" s="41" t="s">
        <v>93</v>
      </c>
      <c r="Q17" s="41" t="s">
        <v>62</v>
      </c>
      <c r="S17" s="41" t="s">
        <v>94</v>
      </c>
      <c r="T17" s="41" t="s">
        <v>64</v>
      </c>
      <c r="U17" s="41">
        <f t="shared" si="1"/>
        <v>7.6248570339306124E-9</v>
      </c>
    </row>
    <row r="18" spans="1:21" s="41" customFormat="1">
      <c r="A18" s="41">
        <v>2027</v>
      </c>
      <c r="B18" s="41" t="s">
        <v>92</v>
      </c>
      <c r="C18" s="41" t="s">
        <v>55</v>
      </c>
      <c r="D18" s="41" t="s">
        <v>14</v>
      </c>
      <c r="E18" s="41" t="s">
        <v>73</v>
      </c>
      <c r="F18" s="41">
        <v>0</v>
      </c>
      <c r="G18" s="41" t="s">
        <v>57</v>
      </c>
      <c r="H18" s="41">
        <f t="shared" si="0"/>
        <v>4269</v>
      </c>
      <c r="I18" s="41" t="s">
        <v>75</v>
      </c>
      <c r="J18" s="43">
        <f>'LCFS Benchmark'!C63</f>
        <v>78.634474400643597</v>
      </c>
      <c r="K18" s="41" t="s">
        <v>59</v>
      </c>
      <c r="L18" s="41">
        <v>1</v>
      </c>
      <c r="P18" s="41" t="s">
        <v>93</v>
      </c>
      <c r="Q18" s="41" t="s">
        <v>62</v>
      </c>
      <c r="S18" s="41" t="s">
        <v>94</v>
      </c>
      <c r="T18" s="41" t="s">
        <v>64</v>
      </c>
      <c r="U18" s="41">
        <f t="shared" si="1"/>
        <v>7.6248570339306124E-9</v>
      </c>
    </row>
    <row r="19" spans="1:21" s="41" customFormat="1">
      <c r="A19" s="41">
        <v>2028</v>
      </c>
      <c r="B19" s="41" t="s">
        <v>92</v>
      </c>
      <c r="C19" s="41" t="s">
        <v>55</v>
      </c>
      <c r="D19" s="41" t="s">
        <v>14</v>
      </c>
      <c r="E19" s="41" t="s">
        <v>73</v>
      </c>
      <c r="F19" s="41">
        <v>0</v>
      </c>
      <c r="G19" s="41" t="s">
        <v>57</v>
      </c>
      <c r="H19" s="41">
        <f t="shared" si="0"/>
        <v>4269</v>
      </c>
      <c r="I19" s="41" t="s">
        <v>75</v>
      </c>
      <c r="J19" s="43">
        <f>'LCFS Benchmark'!C64</f>
        <v>77.100316267095735</v>
      </c>
      <c r="K19" s="41" t="s">
        <v>59</v>
      </c>
      <c r="L19" s="41">
        <v>1</v>
      </c>
      <c r="P19" s="41" t="s">
        <v>93</v>
      </c>
      <c r="Q19" s="41" t="s">
        <v>62</v>
      </c>
      <c r="S19" s="41" t="s">
        <v>94</v>
      </c>
      <c r="T19" s="41" t="s">
        <v>64</v>
      </c>
      <c r="U19" s="41">
        <f t="shared" si="1"/>
        <v>7.6248570339306124E-9</v>
      </c>
    </row>
    <row r="20" spans="1:21" s="41" customFormat="1">
      <c r="A20" s="41">
        <v>2029</v>
      </c>
      <c r="B20" s="41" t="s">
        <v>92</v>
      </c>
      <c r="C20" s="41" t="s">
        <v>55</v>
      </c>
      <c r="D20" s="41" t="s">
        <v>14</v>
      </c>
      <c r="E20" s="41" t="s">
        <v>73</v>
      </c>
      <c r="F20" s="41">
        <v>0</v>
      </c>
      <c r="G20" s="41" t="s">
        <v>57</v>
      </c>
      <c r="H20" s="41">
        <f t="shared" si="0"/>
        <v>4269</v>
      </c>
      <c r="I20" s="41" t="s">
        <v>75</v>
      </c>
      <c r="J20" s="43">
        <f>'LCFS Benchmark'!C65</f>
        <v>75.566158133547887</v>
      </c>
      <c r="K20" s="41" t="s">
        <v>59</v>
      </c>
      <c r="L20" s="41">
        <v>1</v>
      </c>
      <c r="P20" s="41" t="s">
        <v>93</v>
      </c>
      <c r="Q20" s="41" t="s">
        <v>62</v>
      </c>
      <c r="S20" s="41" t="s">
        <v>94</v>
      </c>
      <c r="T20" s="41" t="s">
        <v>64</v>
      </c>
      <c r="U20" s="41">
        <f t="shared" si="1"/>
        <v>7.6248570339306124E-9</v>
      </c>
    </row>
    <row r="21" spans="1:21" s="41" customFormat="1">
      <c r="A21" s="41">
        <v>2030</v>
      </c>
      <c r="B21" s="41" t="s">
        <v>92</v>
      </c>
      <c r="C21" s="41" t="s">
        <v>55</v>
      </c>
      <c r="D21" s="41" t="s">
        <v>14</v>
      </c>
      <c r="E21" s="41" t="s">
        <v>73</v>
      </c>
      <c r="F21" s="41">
        <v>0</v>
      </c>
      <c r="G21" s="41" t="s">
        <v>57</v>
      </c>
      <c r="H21" s="41">
        <f t="shared" si="0"/>
        <v>4269</v>
      </c>
      <c r="I21" s="41" t="s">
        <v>75</v>
      </c>
      <c r="J21" s="43">
        <f>'LCFS Benchmark'!C66</f>
        <v>74.032000000000011</v>
      </c>
      <c r="K21" s="41" t="s">
        <v>59</v>
      </c>
      <c r="L21" s="41">
        <v>1</v>
      </c>
      <c r="P21" s="41" t="s">
        <v>93</v>
      </c>
      <c r="Q21" s="41" t="s">
        <v>62</v>
      </c>
      <c r="S21" s="41" t="s">
        <v>94</v>
      </c>
      <c r="T21" s="41" t="s">
        <v>64</v>
      </c>
      <c r="U21" s="41">
        <f t="shared" si="1"/>
        <v>7.6248570339306124E-9</v>
      </c>
    </row>
    <row r="22" spans="1:21" s="41" customFormat="1">
      <c r="A22" s="41">
        <v>2031</v>
      </c>
      <c r="B22" s="41" t="s">
        <v>92</v>
      </c>
      <c r="C22" s="41" t="s">
        <v>55</v>
      </c>
      <c r="D22" s="41" t="s">
        <v>14</v>
      </c>
      <c r="E22" s="41" t="s">
        <v>73</v>
      </c>
      <c r="F22" s="41">
        <v>0</v>
      </c>
      <c r="G22" s="41" t="s">
        <v>57</v>
      </c>
      <c r="H22" s="41">
        <f t="shared" si="0"/>
        <v>4269</v>
      </c>
      <c r="I22" s="41" t="s">
        <v>75</v>
      </c>
      <c r="J22" s="43">
        <f>'LCFS Benchmark'!C67</f>
        <v>69.272800000000004</v>
      </c>
      <c r="K22" s="41" t="s">
        <v>59</v>
      </c>
      <c r="L22" s="41">
        <v>1</v>
      </c>
      <c r="P22" s="41" t="s">
        <v>93</v>
      </c>
      <c r="Q22" s="41" t="s">
        <v>62</v>
      </c>
      <c r="S22" s="41" t="s">
        <v>94</v>
      </c>
      <c r="T22" s="41" t="s">
        <v>64</v>
      </c>
      <c r="U22" s="41">
        <f t="shared" si="1"/>
        <v>7.6248570339306124E-9</v>
      </c>
    </row>
    <row r="23" spans="1:21" s="41" customFormat="1">
      <c r="A23" s="41">
        <v>2032</v>
      </c>
      <c r="B23" s="41" t="s">
        <v>92</v>
      </c>
      <c r="C23" s="41" t="s">
        <v>55</v>
      </c>
      <c r="D23" s="41" t="s">
        <v>14</v>
      </c>
      <c r="E23" s="41" t="s">
        <v>73</v>
      </c>
      <c r="F23" s="41">
        <v>0</v>
      </c>
      <c r="G23" s="41" t="s">
        <v>57</v>
      </c>
      <c r="H23" s="41">
        <f t="shared" si="0"/>
        <v>4269</v>
      </c>
      <c r="I23" s="41" t="s">
        <v>75</v>
      </c>
      <c r="J23" s="43">
        <f>'LCFS Benchmark'!C68</f>
        <v>64.513600000000011</v>
      </c>
      <c r="K23" s="41" t="s">
        <v>59</v>
      </c>
      <c r="L23" s="41">
        <v>1</v>
      </c>
      <c r="P23" s="41" t="s">
        <v>93</v>
      </c>
      <c r="Q23" s="41" t="s">
        <v>62</v>
      </c>
      <c r="S23" s="41" t="s">
        <v>94</v>
      </c>
      <c r="T23" s="41" t="s">
        <v>64</v>
      </c>
      <c r="U23" s="41">
        <f t="shared" si="1"/>
        <v>7.6248570339306124E-9</v>
      </c>
    </row>
    <row r="24" spans="1:21" s="41" customFormat="1">
      <c r="A24" s="41">
        <v>2033</v>
      </c>
      <c r="B24" s="41" t="s">
        <v>92</v>
      </c>
      <c r="C24" s="41" t="s">
        <v>55</v>
      </c>
      <c r="D24" s="41" t="s">
        <v>14</v>
      </c>
      <c r="E24" s="41" t="s">
        <v>73</v>
      </c>
      <c r="F24" s="41">
        <v>0</v>
      </c>
      <c r="G24" s="41" t="s">
        <v>57</v>
      </c>
      <c r="H24" s="41">
        <f t="shared" si="0"/>
        <v>4269</v>
      </c>
      <c r="I24" s="41" t="s">
        <v>75</v>
      </c>
      <c r="J24" s="43">
        <f>'LCFS Benchmark'!C69</f>
        <v>59.754400000000018</v>
      </c>
      <c r="K24" s="41" t="s">
        <v>59</v>
      </c>
      <c r="L24" s="41">
        <v>1</v>
      </c>
      <c r="P24" s="41" t="s">
        <v>93</v>
      </c>
      <c r="Q24" s="41" t="s">
        <v>62</v>
      </c>
      <c r="S24" s="41" t="s">
        <v>94</v>
      </c>
      <c r="T24" s="41" t="s">
        <v>64</v>
      </c>
      <c r="U24" s="41">
        <f t="shared" si="1"/>
        <v>7.6248570339306124E-9</v>
      </c>
    </row>
    <row r="25" spans="1:21" s="41" customFormat="1">
      <c r="A25" s="41">
        <v>2034</v>
      </c>
      <c r="B25" s="41" t="s">
        <v>92</v>
      </c>
      <c r="C25" s="41" t="s">
        <v>55</v>
      </c>
      <c r="D25" s="41" t="s">
        <v>14</v>
      </c>
      <c r="E25" s="41" t="s">
        <v>73</v>
      </c>
      <c r="F25" s="41">
        <v>0</v>
      </c>
      <c r="G25" s="41" t="s">
        <v>57</v>
      </c>
      <c r="H25" s="41">
        <f t="shared" si="0"/>
        <v>4269</v>
      </c>
      <c r="I25" s="41" t="s">
        <v>75</v>
      </c>
      <c r="J25" s="43">
        <f>'LCFS Benchmark'!C70</f>
        <v>54.995200000000018</v>
      </c>
      <c r="K25" s="41" t="s">
        <v>59</v>
      </c>
      <c r="L25" s="41">
        <v>1</v>
      </c>
      <c r="P25" s="41" t="s">
        <v>93</v>
      </c>
      <c r="Q25" s="41" t="s">
        <v>62</v>
      </c>
      <c r="S25" s="41" t="s">
        <v>94</v>
      </c>
      <c r="T25" s="41" t="s">
        <v>64</v>
      </c>
      <c r="U25" s="41">
        <f t="shared" si="1"/>
        <v>7.6248570339306124E-9</v>
      </c>
    </row>
    <row r="26" spans="1:21" s="41" customFormat="1">
      <c r="A26" s="41">
        <v>2035</v>
      </c>
      <c r="B26" s="41" t="s">
        <v>92</v>
      </c>
      <c r="C26" s="41" t="s">
        <v>55</v>
      </c>
      <c r="D26" s="41" t="s">
        <v>14</v>
      </c>
      <c r="E26" s="41" t="s">
        <v>73</v>
      </c>
      <c r="F26" s="41">
        <v>0</v>
      </c>
      <c r="G26" s="41" t="s">
        <v>57</v>
      </c>
      <c r="H26" s="41">
        <f t="shared" si="0"/>
        <v>4269</v>
      </c>
      <c r="I26" s="41" t="s">
        <v>75</v>
      </c>
      <c r="J26" s="43">
        <f>'LCFS Benchmark'!C71</f>
        <v>50.236000000000011</v>
      </c>
      <c r="K26" s="41" t="s">
        <v>59</v>
      </c>
      <c r="L26" s="41">
        <v>1</v>
      </c>
      <c r="P26" s="41" t="s">
        <v>93</v>
      </c>
      <c r="Q26" s="41" t="s">
        <v>62</v>
      </c>
      <c r="S26" s="41" t="s">
        <v>94</v>
      </c>
      <c r="T26" s="41" t="s">
        <v>64</v>
      </c>
      <c r="U26" s="41">
        <f t="shared" si="1"/>
        <v>7.6248570339306124E-9</v>
      </c>
    </row>
    <row r="27" spans="1:21" s="41" customFormat="1">
      <c r="A27" s="41">
        <v>2036</v>
      </c>
      <c r="B27" s="41" t="s">
        <v>92</v>
      </c>
      <c r="C27" s="41" t="s">
        <v>55</v>
      </c>
      <c r="D27" s="41" t="s">
        <v>14</v>
      </c>
      <c r="E27" s="41" t="s">
        <v>73</v>
      </c>
      <c r="F27" s="41">
        <v>0</v>
      </c>
      <c r="G27" s="41" t="s">
        <v>57</v>
      </c>
      <c r="H27" s="41">
        <f t="shared" si="0"/>
        <v>4269</v>
      </c>
      <c r="I27" s="41" t="s">
        <v>75</v>
      </c>
      <c r="J27" s="43">
        <f>'LCFS Benchmark'!C72</f>
        <v>45.476800000000004</v>
      </c>
      <c r="K27" s="41" t="s">
        <v>59</v>
      </c>
      <c r="L27" s="41">
        <v>1</v>
      </c>
      <c r="P27" s="41" t="s">
        <v>93</v>
      </c>
      <c r="Q27" s="41" t="s">
        <v>62</v>
      </c>
      <c r="S27" s="41" t="s">
        <v>94</v>
      </c>
      <c r="T27" s="41" t="s">
        <v>64</v>
      </c>
      <c r="U27" s="41">
        <f t="shared" si="1"/>
        <v>7.6248570339306124E-9</v>
      </c>
    </row>
    <row r="28" spans="1:21" s="41" customFormat="1">
      <c r="A28" s="41">
        <v>2037</v>
      </c>
      <c r="B28" s="41" t="s">
        <v>92</v>
      </c>
      <c r="C28" s="41" t="s">
        <v>55</v>
      </c>
      <c r="D28" s="41" t="s">
        <v>14</v>
      </c>
      <c r="E28" s="41" t="s">
        <v>73</v>
      </c>
      <c r="F28" s="41">
        <v>0</v>
      </c>
      <c r="G28" s="41" t="s">
        <v>57</v>
      </c>
      <c r="H28" s="41">
        <f t="shared" si="0"/>
        <v>4269</v>
      </c>
      <c r="I28" s="41" t="s">
        <v>75</v>
      </c>
      <c r="J28" s="43">
        <f>'LCFS Benchmark'!C73</f>
        <v>40.717600000000004</v>
      </c>
      <c r="K28" s="41" t="s">
        <v>59</v>
      </c>
      <c r="L28" s="41">
        <v>1</v>
      </c>
      <c r="P28" s="41" t="s">
        <v>93</v>
      </c>
      <c r="Q28" s="41" t="s">
        <v>62</v>
      </c>
      <c r="S28" s="41" t="s">
        <v>94</v>
      </c>
      <c r="T28" s="41" t="s">
        <v>64</v>
      </c>
      <c r="U28" s="41">
        <f t="shared" si="1"/>
        <v>7.6248570339306124E-9</v>
      </c>
    </row>
    <row r="29" spans="1:21" s="41" customFormat="1">
      <c r="A29" s="41">
        <v>2038</v>
      </c>
      <c r="B29" s="41" t="s">
        <v>92</v>
      </c>
      <c r="C29" s="41" t="s">
        <v>55</v>
      </c>
      <c r="D29" s="41" t="s">
        <v>14</v>
      </c>
      <c r="E29" s="41" t="s">
        <v>73</v>
      </c>
      <c r="F29" s="41">
        <v>0</v>
      </c>
      <c r="G29" s="41" t="s">
        <v>57</v>
      </c>
      <c r="H29" s="41">
        <f t="shared" si="0"/>
        <v>4269</v>
      </c>
      <c r="I29" s="41" t="s">
        <v>75</v>
      </c>
      <c r="J29" s="43">
        <f>'LCFS Benchmark'!C74</f>
        <v>35.958399999999997</v>
      </c>
      <c r="K29" s="41" t="s">
        <v>59</v>
      </c>
      <c r="L29" s="41">
        <v>1</v>
      </c>
      <c r="P29" s="41" t="s">
        <v>93</v>
      </c>
      <c r="Q29" s="41" t="s">
        <v>62</v>
      </c>
      <c r="S29" s="41" t="s">
        <v>94</v>
      </c>
      <c r="T29" s="41" t="s">
        <v>64</v>
      </c>
      <c r="U29" s="41">
        <f t="shared" si="1"/>
        <v>7.6248570339306124E-9</v>
      </c>
    </row>
    <row r="30" spans="1:21" s="41" customFormat="1">
      <c r="A30" s="41">
        <v>2039</v>
      </c>
      <c r="B30" s="41" t="s">
        <v>92</v>
      </c>
      <c r="C30" s="41" t="s">
        <v>55</v>
      </c>
      <c r="D30" s="41" t="s">
        <v>14</v>
      </c>
      <c r="E30" s="41" t="s">
        <v>73</v>
      </c>
      <c r="F30" s="41">
        <v>0</v>
      </c>
      <c r="G30" s="41" t="s">
        <v>57</v>
      </c>
      <c r="H30" s="41">
        <f t="shared" si="0"/>
        <v>4269</v>
      </c>
      <c r="I30" s="41" t="s">
        <v>75</v>
      </c>
      <c r="J30" s="43">
        <f>'LCFS Benchmark'!C75</f>
        <v>31.199199999999994</v>
      </c>
      <c r="K30" s="41" t="s">
        <v>59</v>
      </c>
      <c r="L30" s="41">
        <v>1</v>
      </c>
      <c r="P30" s="41" t="s">
        <v>93</v>
      </c>
      <c r="Q30" s="41" t="s">
        <v>62</v>
      </c>
      <c r="S30" s="41" t="s">
        <v>94</v>
      </c>
      <c r="T30" s="41" t="s">
        <v>64</v>
      </c>
      <c r="U30" s="41">
        <f t="shared" si="1"/>
        <v>7.6248570339306124E-9</v>
      </c>
    </row>
    <row r="31" spans="1:21" s="41" customFormat="1">
      <c r="A31" s="41">
        <v>2040</v>
      </c>
      <c r="B31" s="41" t="s">
        <v>92</v>
      </c>
      <c r="C31" s="41" t="s">
        <v>55</v>
      </c>
      <c r="D31" s="41" t="s">
        <v>14</v>
      </c>
      <c r="E31" s="41" t="s">
        <v>73</v>
      </c>
      <c r="F31" s="41">
        <v>0</v>
      </c>
      <c r="G31" s="41" t="s">
        <v>57</v>
      </c>
      <c r="H31" s="41">
        <f t="shared" si="0"/>
        <v>4269</v>
      </c>
      <c r="I31" s="41" t="s">
        <v>75</v>
      </c>
      <c r="J31" s="43">
        <f>'LCFS Benchmark'!C76</f>
        <v>26.439999999999991</v>
      </c>
      <c r="K31" s="41" t="s">
        <v>59</v>
      </c>
      <c r="L31" s="41">
        <v>1</v>
      </c>
      <c r="P31" s="41" t="s">
        <v>93</v>
      </c>
      <c r="Q31" s="41" t="s">
        <v>62</v>
      </c>
      <c r="S31" s="41" t="s">
        <v>94</v>
      </c>
      <c r="T31" s="41" t="s">
        <v>64</v>
      </c>
      <c r="U31" s="41">
        <f t="shared" si="1"/>
        <v>7.6248570339306124E-9</v>
      </c>
    </row>
    <row r="32" spans="1:21" s="41" customFormat="1">
      <c r="A32" s="41">
        <v>2041</v>
      </c>
      <c r="B32" s="41" t="s">
        <v>92</v>
      </c>
      <c r="C32" s="41" t="s">
        <v>55</v>
      </c>
      <c r="D32" s="41" t="s">
        <v>14</v>
      </c>
      <c r="E32" s="41" t="s">
        <v>73</v>
      </c>
      <c r="F32" s="41">
        <v>0</v>
      </c>
      <c r="G32" s="41" t="s">
        <v>57</v>
      </c>
      <c r="H32" s="41">
        <f t="shared" si="0"/>
        <v>4269</v>
      </c>
      <c r="I32" s="41" t="s">
        <v>75</v>
      </c>
      <c r="J32" s="43">
        <f>'LCFS Benchmark'!C77</f>
        <v>23.267199999999988</v>
      </c>
      <c r="K32" s="41" t="s">
        <v>59</v>
      </c>
      <c r="L32" s="41">
        <v>1</v>
      </c>
      <c r="P32" s="41" t="s">
        <v>93</v>
      </c>
      <c r="Q32" s="41" t="s">
        <v>62</v>
      </c>
      <c r="S32" s="41" t="s">
        <v>94</v>
      </c>
      <c r="T32" s="41" t="s">
        <v>64</v>
      </c>
      <c r="U32" s="41">
        <f t="shared" si="1"/>
        <v>7.6248570339306124E-9</v>
      </c>
    </row>
    <row r="33" spans="1:21" s="41" customFormat="1">
      <c r="A33" s="41">
        <v>2042</v>
      </c>
      <c r="B33" s="41" t="s">
        <v>92</v>
      </c>
      <c r="C33" s="41" t="s">
        <v>55</v>
      </c>
      <c r="D33" s="41" t="s">
        <v>14</v>
      </c>
      <c r="E33" s="41" t="s">
        <v>73</v>
      </c>
      <c r="F33" s="41">
        <v>0</v>
      </c>
      <c r="G33" s="41" t="s">
        <v>57</v>
      </c>
      <c r="H33" s="41">
        <f t="shared" si="0"/>
        <v>4269</v>
      </c>
      <c r="I33" s="41" t="s">
        <v>75</v>
      </c>
      <c r="J33" s="43">
        <f>'LCFS Benchmark'!C78</f>
        <v>20.094399999999982</v>
      </c>
      <c r="K33" s="41" t="s">
        <v>59</v>
      </c>
      <c r="L33" s="41">
        <v>1</v>
      </c>
      <c r="P33" s="41" t="s">
        <v>93</v>
      </c>
      <c r="Q33" s="41" t="s">
        <v>62</v>
      </c>
      <c r="S33" s="41" t="s">
        <v>94</v>
      </c>
      <c r="T33" s="41" t="s">
        <v>64</v>
      </c>
      <c r="U33" s="41">
        <f t="shared" si="1"/>
        <v>7.6248570339306124E-9</v>
      </c>
    </row>
    <row r="34" spans="1:21" s="41" customFormat="1">
      <c r="A34" s="41">
        <v>2043</v>
      </c>
      <c r="B34" s="41" t="s">
        <v>92</v>
      </c>
      <c r="C34" s="41" t="s">
        <v>55</v>
      </c>
      <c r="D34" s="41" t="s">
        <v>14</v>
      </c>
      <c r="E34" s="41" t="s">
        <v>73</v>
      </c>
      <c r="F34" s="41">
        <v>0</v>
      </c>
      <c r="G34" s="41" t="s">
        <v>57</v>
      </c>
      <c r="H34" s="41">
        <f t="shared" si="0"/>
        <v>4269</v>
      </c>
      <c r="I34" s="41" t="s">
        <v>75</v>
      </c>
      <c r="J34" s="43">
        <f>'LCFS Benchmark'!C79</f>
        <v>16.92159999999998</v>
      </c>
      <c r="K34" s="41" t="s">
        <v>59</v>
      </c>
      <c r="L34" s="41">
        <v>1</v>
      </c>
      <c r="P34" s="41" t="s">
        <v>93</v>
      </c>
      <c r="Q34" s="41" t="s">
        <v>62</v>
      </c>
      <c r="S34" s="41" t="s">
        <v>94</v>
      </c>
      <c r="T34" s="41" t="s">
        <v>64</v>
      </c>
      <c r="U34" s="41">
        <f t="shared" si="1"/>
        <v>7.6248570339306124E-9</v>
      </c>
    </row>
    <row r="35" spans="1:21" s="41" customFormat="1">
      <c r="A35" s="41">
        <v>2044</v>
      </c>
      <c r="B35" s="41" t="s">
        <v>92</v>
      </c>
      <c r="C35" s="41" t="s">
        <v>55</v>
      </c>
      <c r="D35" s="41" t="s">
        <v>14</v>
      </c>
      <c r="E35" s="41" t="s">
        <v>73</v>
      </c>
      <c r="F35" s="41">
        <v>0</v>
      </c>
      <c r="G35" s="41" t="s">
        <v>57</v>
      </c>
      <c r="H35" s="41">
        <f t="shared" si="0"/>
        <v>4269</v>
      </c>
      <c r="I35" s="41" t="s">
        <v>75</v>
      </c>
      <c r="J35" s="43">
        <f>'LCFS Benchmark'!C80</f>
        <v>13.748799999999978</v>
      </c>
      <c r="K35" s="41" t="s">
        <v>59</v>
      </c>
      <c r="L35" s="41">
        <v>1</v>
      </c>
      <c r="P35" s="41" t="s">
        <v>93</v>
      </c>
      <c r="Q35" s="41" t="s">
        <v>62</v>
      </c>
      <c r="S35" s="41" t="s">
        <v>94</v>
      </c>
      <c r="T35" s="41" t="s">
        <v>64</v>
      </c>
      <c r="U35" s="41">
        <f t="shared" si="1"/>
        <v>7.6248570339306124E-9</v>
      </c>
    </row>
    <row r="36" spans="1:21" s="41" customFormat="1">
      <c r="A36" s="41">
        <v>2045</v>
      </c>
      <c r="B36" s="41" t="s">
        <v>92</v>
      </c>
      <c r="C36" s="41" t="s">
        <v>55</v>
      </c>
      <c r="D36" s="41" t="s">
        <v>14</v>
      </c>
      <c r="E36" s="41" t="s">
        <v>73</v>
      </c>
      <c r="F36" s="41">
        <v>0</v>
      </c>
      <c r="G36" s="41" t="s">
        <v>57</v>
      </c>
      <c r="H36" s="41">
        <f t="shared" si="0"/>
        <v>4269</v>
      </c>
      <c r="I36" s="41" t="s">
        <v>75</v>
      </c>
      <c r="J36" s="43">
        <f>'LCFS Benchmark'!C81</f>
        <v>10.575999999999974</v>
      </c>
      <c r="K36" s="41" t="s">
        <v>59</v>
      </c>
      <c r="L36" s="41">
        <v>1</v>
      </c>
      <c r="P36" s="41" t="s">
        <v>93</v>
      </c>
      <c r="Q36" s="41" t="s">
        <v>62</v>
      </c>
      <c r="S36" s="41" t="s">
        <v>94</v>
      </c>
      <c r="T36" s="41" t="s">
        <v>64</v>
      </c>
      <c r="U36" s="41">
        <f t="shared" si="1"/>
        <v>7.6248570339306124E-9</v>
      </c>
    </row>
    <row r="37" spans="1:21" s="41" customFormat="1">
      <c r="A37" s="41">
        <v>2046</v>
      </c>
      <c r="B37" s="41" t="s">
        <v>92</v>
      </c>
      <c r="C37" s="41" t="s">
        <v>55</v>
      </c>
      <c r="D37" s="41" t="s">
        <v>14</v>
      </c>
      <c r="E37" s="41" t="s">
        <v>73</v>
      </c>
      <c r="F37" s="41">
        <v>0</v>
      </c>
      <c r="G37" s="41" t="s">
        <v>57</v>
      </c>
      <c r="H37" s="41">
        <f t="shared" si="0"/>
        <v>4269</v>
      </c>
      <c r="I37" s="41" t="s">
        <v>75</v>
      </c>
      <c r="J37" s="43">
        <f>'LCFS Benchmark'!C82</f>
        <v>10.575999999999974</v>
      </c>
      <c r="K37" s="41" t="s">
        <v>59</v>
      </c>
      <c r="L37" s="41">
        <v>1</v>
      </c>
      <c r="P37" s="41" t="s">
        <v>93</v>
      </c>
      <c r="Q37" s="41" t="s">
        <v>62</v>
      </c>
      <c r="S37" s="41" t="s">
        <v>94</v>
      </c>
      <c r="T37" s="41" t="s">
        <v>64</v>
      </c>
      <c r="U37" s="41">
        <f t="shared" si="1"/>
        <v>7.6248570339306124E-9</v>
      </c>
    </row>
    <row r="38" spans="1:21" s="41" customFormat="1">
      <c r="A38" s="41">
        <v>2022</v>
      </c>
      <c r="B38" s="41" t="s">
        <v>13</v>
      </c>
      <c r="C38" s="41" t="s">
        <v>95</v>
      </c>
      <c r="D38" s="41" t="s">
        <v>13</v>
      </c>
      <c r="E38" s="41" t="s">
        <v>96</v>
      </c>
      <c r="F38" s="41">
        <v>1000</v>
      </c>
      <c r="G38" s="41" t="s">
        <v>97</v>
      </c>
      <c r="H38" s="41">
        <v>1</v>
      </c>
      <c r="I38" s="41" t="s">
        <v>98</v>
      </c>
      <c r="J38" s="41">
        <f>-1000000</f>
        <v>-1000000</v>
      </c>
      <c r="K38" s="41" t="s">
        <v>50</v>
      </c>
      <c r="L38" s="41">
        <v>1</v>
      </c>
      <c r="M38" s="41" t="s">
        <v>99</v>
      </c>
      <c r="N38" s="41">
        <v>130</v>
      </c>
      <c r="O38" s="41" t="s">
        <v>57</v>
      </c>
      <c r="P38" s="41" t="s">
        <v>13</v>
      </c>
      <c r="Q38" s="41" t="s">
        <v>53</v>
      </c>
      <c r="S38" s="41" t="s">
        <v>100</v>
      </c>
      <c r="T38" s="41" t="s">
        <v>54</v>
      </c>
      <c r="U38" s="41">
        <f t="shared" ref="U38:U54" si="2">1/1000000</f>
        <v>9.9999999999999995E-7</v>
      </c>
    </row>
    <row r="39" spans="1:21" s="41" customFormat="1">
      <c r="A39" s="41">
        <v>2030</v>
      </c>
      <c r="B39" s="41" t="s">
        <v>13</v>
      </c>
      <c r="D39" s="41" t="s">
        <v>13</v>
      </c>
      <c r="E39" s="41" t="s">
        <v>96</v>
      </c>
      <c r="F39" s="41">
        <v>1000</v>
      </c>
      <c r="G39" s="41" t="s">
        <v>97</v>
      </c>
      <c r="H39" s="41">
        <v>1</v>
      </c>
      <c r="I39" s="41" t="s">
        <v>98</v>
      </c>
      <c r="J39" s="41">
        <f t="shared" ref="J39:J54" si="3">-1000000</f>
        <v>-1000000</v>
      </c>
      <c r="K39" s="41" t="s">
        <v>50</v>
      </c>
      <c r="L39" s="41">
        <v>1</v>
      </c>
      <c r="M39" s="41" t="s">
        <v>99</v>
      </c>
      <c r="N39" s="41">
        <v>130</v>
      </c>
      <c r="O39" s="41" t="s">
        <v>57</v>
      </c>
      <c r="P39" s="41" t="s">
        <v>13</v>
      </c>
      <c r="Q39" s="41" t="s">
        <v>53</v>
      </c>
      <c r="S39" s="41" t="s">
        <v>100</v>
      </c>
      <c r="T39" s="41" t="s">
        <v>54</v>
      </c>
      <c r="U39" s="41">
        <f t="shared" si="2"/>
        <v>9.9999999999999995E-7</v>
      </c>
    </row>
    <row r="40" spans="1:21" s="41" customFormat="1">
      <c r="A40" s="41">
        <v>2031</v>
      </c>
      <c r="B40" s="41" t="s">
        <v>13</v>
      </c>
      <c r="D40" s="41" t="s">
        <v>13</v>
      </c>
      <c r="E40" s="41" t="s">
        <v>96</v>
      </c>
      <c r="F40" s="41">
        <v>908</v>
      </c>
      <c r="G40" s="41" t="s">
        <v>97</v>
      </c>
      <c r="H40" s="41">
        <v>1</v>
      </c>
      <c r="I40" s="41" t="s">
        <v>98</v>
      </c>
      <c r="J40" s="41">
        <f t="shared" si="3"/>
        <v>-1000000</v>
      </c>
      <c r="K40" s="41" t="s">
        <v>50</v>
      </c>
      <c r="L40" s="41">
        <v>1</v>
      </c>
      <c r="M40" s="41" t="s">
        <v>99</v>
      </c>
      <c r="N40" s="41">
        <v>130</v>
      </c>
      <c r="O40" s="41" t="s">
        <v>57</v>
      </c>
      <c r="P40" s="41" t="s">
        <v>13</v>
      </c>
      <c r="Q40" s="41" t="s">
        <v>53</v>
      </c>
      <c r="S40" s="41" t="s">
        <v>100</v>
      </c>
      <c r="T40" s="41" t="s">
        <v>54</v>
      </c>
      <c r="U40" s="41">
        <f t="shared" si="2"/>
        <v>9.9999999999999995E-7</v>
      </c>
    </row>
    <row r="41" spans="1:21" s="41" customFormat="1">
      <c r="A41" s="41">
        <v>2032</v>
      </c>
      <c r="B41" s="41" t="s">
        <v>13</v>
      </c>
      <c r="D41" s="41" t="s">
        <v>13</v>
      </c>
      <c r="E41" s="41" t="s">
        <v>96</v>
      </c>
      <c r="F41" s="41">
        <v>825</v>
      </c>
      <c r="G41" s="41" t="s">
        <v>97</v>
      </c>
      <c r="H41" s="41">
        <v>1</v>
      </c>
      <c r="I41" s="41" t="s">
        <v>98</v>
      </c>
      <c r="J41" s="41">
        <f t="shared" si="3"/>
        <v>-1000000</v>
      </c>
      <c r="K41" s="41" t="s">
        <v>50</v>
      </c>
      <c r="L41" s="41">
        <v>1</v>
      </c>
      <c r="M41" s="41" t="s">
        <v>99</v>
      </c>
      <c r="N41" s="41">
        <v>130</v>
      </c>
      <c r="O41" s="41" t="s">
        <v>57</v>
      </c>
      <c r="P41" s="41" t="s">
        <v>13</v>
      </c>
      <c r="Q41" s="41" t="s">
        <v>53</v>
      </c>
      <c r="S41" s="41" t="s">
        <v>100</v>
      </c>
      <c r="T41" s="41" t="s">
        <v>54</v>
      </c>
      <c r="U41" s="41">
        <f t="shared" si="2"/>
        <v>9.9999999999999995E-7</v>
      </c>
    </row>
    <row r="42" spans="1:21" s="41" customFormat="1">
      <c r="A42" s="41">
        <v>2033</v>
      </c>
      <c r="B42" s="41" t="s">
        <v>13</v>
      </c>
      <c r="D42" s="41" t="s">
        <v>13</v>
      </c>
      <c r="E42" s="41" t="s">
        <v>96</v>
      </c>
      <c r="F42" s="41">
        <v>749</v>
      </c>
      <c r="G42" s="41" t="s">
        <v>97</v>
      </c>
      <c r="H42" s="41">
        <v>1</v>
      </c>
      <c r="I42" s="41" t="s">
        <v>98</v>
      </c>
      <c r="J42" s="41">
        <f t="shared" si="3"/>
        <v>-1000000</v>
      </c>
      <c r="K42" s="41" t="s">
        <v>50</v>
      </c>
      <c r="L42" s="41">
        <v>1</v>
      </c>
      <c r="M42" s="41" t="s">
        <v>99</v>
      </c>
      <c r="N42" s="41">
        <v>130</v>
      </c>
      <c r="O42" s="41" t="s">
        <v>57</v>
      </c>
      <c r="P42" s="41" t="s">
        <v>13</v>
      </c>
      <c r="Q42" s="41" t="s">
        <v>53</v>
      </c>
      <c r="S42" s="41" t="s">
        <v>100</v>
      </c>
      <c r="T42" s="41" t="s">
        <v>54</v>
      </c>
      <c r="U42" s="41">
        <f t="shared" si="2"/>
        <v>9.9999999999999995E-7</v>
      </c>
    </row>
    <row r="43" spans="1:21" s="41" customFormat="1">
      <c r="A43" s="41">
        <v>2034</v>
      </c>
      <c r="B43" s="41" t="s">
        <v>13</v>
      </c>
      <c r="D43" s="41" t="s">
        <v>13</v>
      </c>
      <c r="E43" s="41" t="s">
        <v>96</v>
      </c>
      <c r="F43" s="41">
        <v>680</v>
      </c>
      <c r="G43" s="41" t="s">
        <v>97</v>
      </c>
      <c r="H43" s="41">
        <v>1</v>
      </c>
      <c r="I43" s="41" t="s">
        <v>98</v>
      </c>
      <c r="J43" s="41">
        <f t="shared" si="3"/>
        <v>-1000000</v>
      </c>
      <c r="K43" s="41" t="s">
        <v>50</v>
      </c>
      <c r="L43" s="41">
        <v>1</v>
      </c>
      <c r="M43" s="41" t="s">
        <v>99</v>
      </c>
      <c r="N43" s="41">
        <v>130</v>
      </c>
      <c r="O43" s="41" t="s">
        <v>57</v>
      </c>
      <c r="P43" s="41" t="s">
        <v>13</v>
      </c>
      <c r="Q43" s="41" t="s">
        <v>53</v>
      </c>
      <c r="S43" s="41" t="s">
        <v>100</v>
      </c>
      <c r="T43" s="41" t="s">
        <v>54</v>
      </c>
      <c r="U43" s="41">
        <f t="shared" si="2"/>
        <v>9.9999999999999995E-7</v>
      </c>
    </row>
    <row r="44" spans="1:21" s="41" customFormat="1">
      <c r="A44" s="41">
        <v>2035</v>
      </c>
      <c r="B44" s="41" t="s">
        <v>13</v>
      </c>
      <c r="D44" s="41" t="s">
        <v>13</v>
      </c>
      <c r="E44" s="41" t="s">
        <v>96</v>
      </c>
      <c r="F44" s="41">
        <v>618</v>
      </c>
      <c r="G44" s="41" t="s">
        <v>97</v>
      </c>
      <c r="H44" s="41">
        <v>1</v>
      </c>
      <c r="I44" s="41" t="s">
        <v>98</v>
      </c>
      <c r="J44" s="41">
        <f t="shared" si="3"/>
        <v>-1000000</v>
      </c>
      <c r="K44" s="41" t="s">
        <v>50</v>
      </c>
      <c r="L44" s="41">
        <v>1</v>
      </c>
      <c r="M44" s="41" t="s">
        <v>99</v>
      </c>
      <c r="N44" s="41">
        <v>130</v>
      </c>
      <c r="O44" s="41" t="s">
        <v>57</v>
      </c>
      <c r="P44" s="41" t="s">
        <v>13</v>
      </c>
      <c r="Q44" s="41" t="s">
        <v>53</v>
      </c>
      <c r="S44" s="41" t="s">
        <v>100</v>
      </c>
      <c r="T44" s="41" t="s">
        <v>54</v>
      </c>
      <c r="U44" s="41">
        <f t="shared" si="2"/>
        <v>9.9999999999999995E-7</v>
      </c>
    </row>
    <row r="45" spans="1:21" s="41" customFormat="1">
      <c r="A45" s="41">
        <v>2036</v>
      </c>
      <c r="B45" s="41" t="s">
        <v>13</v>
      </c>
      <c r="D45" s="41" t="s">
        <v>13</v>
      </c>
      <c r="E45" s="41" t="s">
        <v>96</v>
      </c>
      <c r="F45" s="41">
        <v>561</v>
      </c>
      <c r="G45" s="41" t="s">
        <v>97</v>
      </c>
      <c r="H45" s="41">
        <v>1</v>
      </c>
      <c r="I45" s="41" t="s">
        <v>98</v>
      </c>
      <c r="J45" s="41">
        <f t="shared" si="3"/>
        <v>-1000000</v>
      </c>
      <c r="K45" s="41" t="s">
        <v>50</v>
      </c>
      <c r="L45" s="41">
        <v>1</v>
      </c>
      <c r="M45" s="41" t="s">
        <v>99</v>
      </c>
      <c r="N45" s="41">
        <v>130</v>
      </c>
      <c r="O45" s="41" t="s">
        <v>57</v>
      </c>
      <c r="P45" s="41" t="s">
        <v>13</v>
      </c>
      <c r="Q45" s="41" t="s">
        <v>53</v>
      </c>
      <c r="S45" s="41" t="s">
        <v>100</v>
      </c>
      <c r="T45" s="41" t="s">
        <v>54</v>
      </c>
      <c r="U45" s="41">
        <f t="shared" si="2"/>
        <v>9.9999999999999995E-7</v>
      </c>
    </row>
    <row r="46" spans="1:21" s="41" customFormat="1">
      <c r="A46" s="41">
        <v>2037</v>
      </c>
      <c r="B46" s="41" t="s">
        <v>13</v>
      </c>
      <c r="D46" s="41" t="s">
        <v>13</v>
      </c>
      <c r="E46" s="41" t="s">
        <v>96</v>
      </c>
      <c r="F46" s="41">
        <v>510</v>
      </c>
      <c r="G46" s="41" t="s">
        <v>97</v>
      </c>
      <c r="H46" s="41">
        <v>1</v>
      </c>
      <c r="I46" s="41" t="s">
        <v>98</v>
      </c>
      <c r="J46" s="41">
        <f t="shared" si="3"/>
        <v>-1000000</v>
      </c>
      <c r="K46" s="41" t="s">
        <v>50</v>
      </c>
      <c r="L46" s="41">
        <v>1</v>
      </c>
      <c r="M46" s="41" t="s">
        <v>99</v>
      </c>
      <c r="N46" s="41">
        <v>130</v>
      </c>
      <c r="O46" s="41" t="s">
        <v>57</v>
      </c>
      <c r="P46" s="41" t="s">
        <v>13</v>
      </c>
      <c r="Q46" s="41" t="s">
        <v>53</v>
      </c>
      <c r="S46" s="41" t="s">
        <v>100</v>
      </c>
      <c r="T46" s="41" t="s">
        <v>54</v>
      </c>
      <c r="U46" s="41">
        <f t="shared" si="2"/>
        <v>9.9999999999999995E-7</v>
      </c>
    </row>
    <row r="47" spans="1:21" s="41" customFormat="1">
      <c r="A47" s="41">
        <v>2038</v>
      </c>
      <c r="B47" s="41" t="s">
        <v>13</v>
      </c>
      <c r="D47" s="41" t="s">
        <v>13</v>
      </c>
      <c r="E47" s="41" t="s">
        <v>96</v>
      </c>
      <c r="F47" s="41">
        <v>463</v>
      </c>
      <c r="G47" s="41" t="s">
        <v>97</v>
      </c>
      <c r="H47" s="41">
        <v>1</v>
      </c>
      <c r="I47" s="41" t="s">
        <v>98</v>
      </c>
      <c r="J47" s="41">
        <f t="shared" si="3"/>
        <v>-1000000</v>
      </c>
      <c r="K47" s="41" t="s">
        <v>50</v>
      </c>
      <c r="L47" s="41">
        <v>1</v>
      </c>
      <c r="M47" s="41" t="s">
        <v>99</v>
      </c>
      <c r="N47" s="41">
        <v>130</v>
      </c>
      <c r="O47" s="41" t="s">
        <v>57</v>
      </c>
      <c r="P47" s="41" t="s">
        <v>13</v>
      </c>
      <c r="Q47" s="41" t="s">
        <v>53</v>
      </c>
      <c r="S47" s="41" t="s">
        <v>100</v>
      </c>
      <c r="T47" s="41" t="s">
        <v>54</v>
      </c>
      <c r="U47" s="41">
        <f t="shared" si="2"/>
        <v>9.9999999999999995E-7</v>
      </c>
    </row>
    <row r="48" spans="1:21" s="41" customFormat="1">
      <c r="A48" s="41">
        <v>2039</v>
      </c>
      <c r="B48" s="41" t="s">
        <v>13</v>
      </c>
      <c r="D48" s="41" t="s">
        <v>13</v>
      </c>
      <c r="E48" s="41" t="s">
        <v>96</v>
      </c>
      <c r="F48" s="41">
        <v>420</v>
      </c>
      <c r="G48" s="41" t="s">
        <v>97</v>
      </c>
      <c r="H48" s="41">
        <v>1</v>
      </c>
      <c r="I48" s="41" t="s">
        <v>98</v>
      </c>
      <c r="J48" s="41">
        <f t="shared" si="3"/>
        <v>-1000000</v>
      </c>
      <c r="K48" s="41" t="s">
        <v>50</v>
      </c>
      <c r="L48" s="41">
        <v>1</v>
      </c>
      <c r="M48" s="41" t="s">
        <v>99</v>
      </c>
      <c r="N48" s="41">
        <v>130</v>
      </c>
      <c r="O48" s="41" t="s">
        <v>57</v>
      </c>
      <c r="P48" s="41" t="s">
        <v>13</v>
      </c>
      <c r="Q48" s="41" t="s">
        <v>53</v>
      </c>
      <c r="S48" s="41" t="s">
        <v>100</v>
      </c>
      <c r="T48" s="41" t="s">
        <v>54</v>
      </c>
      <c r="U48" s="41">
        <f t="shared" si="2"/>
        <v>9.9999999999999995E-7</v>
      </c>
    </row>
    <row r="49" spans="1:21" s="41" customFormat="1">
      <c r="A49" s="41">
        <v>2040</v>
      </c>
      <c r="B49" s="41" t="s">
        <v>13</v>
      </c>
      <c r="D49" s="41" t="s">
        <v>13</v>
      </c>
      <c r="E49" s="41" t="s">
        <v>96</v>
      </c>
      <c r="F49" s="41">
        <v>382</v>
      </c>
      <c r="G49" s="41" t="s">
        <v>97</v>
      </c>
      <c r="H49" s="41">
        <v>1</v>
      </c>
      <c r="I49" s="41" t="s">
        <v>98</v>
      </c>
      <c r="J49" s="41">
        <f t="shared" si="3"/>
        <v>-1000000</v>
      </c>
      <c r="K49" s="41" t="s">
        <v>50</v>
      </c>
      <c r="L49" s="41">
        <v>1</v>
      </c>
      <c r="M49" s="41" t="s">
        <v>99</v>
      </c>
      <c r="N49" s="41">
        <v>130</v>
      </c>
      <c r="O49" s="41" t="s">
        <v>57</v>
      </c>
      <c r="P49" s="41" t="s">
        <v>13</v>
      </c>
      <c r="Q49" s="41" t="s">
        <v>53</v>
      </c>
      <c r="S49" s="41" t="s">
        <v>100</v>
      </c>
      <c r="T49" s="41" t="s">
        <v>54</v>
      </c>
      <c r="U49" s="41">
        <f t="shared" si="2"/>
        <v>9.9999999999999995E-7</v>
      </c>
    </row>
    <row r="50" spans="1:21" s="41" customFormat="1">
      <c r="A50" s="41">
        <v>2041</v>
      </c>
      <c r="B50" s="41" t="s">
        <v>13</v>
      </c>
      <c r="D50" s="41" t="s">
        <v>13</v>
      </c>
      <c r="E50" s="41" t="s">
        <v>96</v>
      </c>
      <c r="F50" s="41">
        <v>347</v>
      </c>
      <c r="G50" s="41" t="s">
        <v>97</v>
      </c>
      <c r="H50" s="41">
        <v>1</v>
      </c>
      <c r="I50" s="41" t="s">
        <v>98</v>
      </c>
      <c r="J50" s="41">
        <f t="shared" si="3"/>
        <v>-1000000</v>
      </c>
      <c r="K50" s="41" t="s">
        <v>50</v>
      </c>
      <c r="L50" s="41">
        <v>1</v>
      </c>
      <c r="M50" s="41" t="s">
        <v>99</v>
      </c>
      <c r="N50" s="41">
        <v>130</v>
      </c>
      <c r="O50" s="41" t="s">
        <v>57</v>
      </c>
      <c r="P50" s="41" t="s">
        <v>13</v>
      </c>
      <c r="Q50" s="41" t="s">
        <v>53</v>
      </c>
      <c r="S50" s="41" t="s">
        <v>100</v>
      </c>
      <c r="T50" s="41" t="s">
        <v>54</v>
      </c>
      <c r="U50" s="41">
        <f t="shared" si="2"/>
        <v>9.9999999999999995E-7</v>
      </c>
    </row>
    <row r="51" spans="1:21" s="41" customFormat="1">
      <c r="A51" s="41">
        <v>2042</v>
      </c>
      <c r="B51" s="41" t="s">
        <v>13</v>
      </c>
      <c r="D51" s="41" t="s">
        <v>13</v>
      </c>
      <c r="E51" s="41" t="s">
        <v>96</v>
      </c>
      <c r="F51" s="41">
        <v>315</v>
      </c>
      <c r="G51" s="41" t="s">
        <v>97</v>
      </c>
      <c r="H51" s="41">
        <v>1</v>
      </c>
      <c r="I51" s="41" t="s">
        <v>98</v>
      </c>
      <c r="J51" s="41">
        <f t="shared" si="3"/>
        <v>-1000000</v>
      </c>
      <c r="K51" s="41" t="s">
        <v>50</v>
      </c>
      <c r="L51" s="41">
        <v>1</v>
      </c>
      <c r="M51" s="41" t="s">
        <v>99</v>
      </c>
      <c r="N51" s="41">
        <v>130</v>
      </c>
      <c r="O51" s="41" t="s">
        <v>57</v>
      </c>
      <c r="P51" s="41" t="s">
        <v>13</v>
      </c>
      <c r="Q51" s="41" t="s">
        <v>53</v>
      </c>
      <c r="S51" s="41" t="s">
        <v>100</v>
      </c>
      <c r="T51" s="41" t="s">
        <v>54</v>
      </c>
      <c r="U51" s="41">
        <f t="shared" si="2"/>
        <v>9.9999999999999995E-7</v>
      </c>
    </row>
    <row r="52" spans="1:21" s="41" customFormat="1">
      <c r="A52" s="41">
        <v>2043</v>
      </c>
      <c r="B52" s="41" t="s">
        <v>13</v>
      </c>
      <c r="D52" s="41" t="s">
        <v>13</v>
      </c>
      <c r="E52" s="41" t="s">
        <v>96</v>
      </c>
      <c r="F52" s="41">
        <v>286</v>
      </c>
      <c r="G52" s="41" t="s">
        <v>97</v>
      </c>
      <c r="H52" s="41">
        <v>1</v>
      </c>
      <c r="I52" s="41" t="s">
        <v>98</v>
      </c>
      <c r="J52" s="41">
        <f t="shared" si="3"/>
        <v>-1000000</v>
      </c>
      <c r="K52" s="41" t="s">
        <v>50</v>
      </c>
      <c r="L52" s="41">
        <v>1</v>
      </c>
      <c r="M52" s="41" t="s">
        <v>99</v>
      </c>
      <c r="N52" s="41">
        <v>130</v>
      </c>
      <c r="O52" s="41" t="s">
        <v>57</v>
      </c>
      <c r="P52" s="41" t="s">
        <v>13</v>
      </c>
      <c r="Q52" s="41" t="s">
        <v>53</v>
      </c>
      <c r="S52" s="41" t="s">
        <v>100</v>
      </c>
      <c r="T52" s="41" t="s">
        <v>54</v>
      </c>
      <c r="U52" s="41">
        <f t="shared" si="2"/>
        <v>9.9999999999999995E-7</v>
      </c>
    </row>
    <row r="53" spans="1:21" s="41" customFormat="1">
      <c r="A53" s="41">
        <v>2044</v>
      </c>
      <c r="B53" s="41" t="s">
        <v>13</v>
      </c>
      <c r="D53" s="41" t="s">
        <v>13</v>
      </c>
      <c r="E53" s="41" t="s">
        <v>96</v>
      </c>
      <c r="F53" s="41">
        <v>260</v>
      </c>
      <c r="G53" s="41" t="s">
        <v>97</v>
      </c>
      <c r="H53" s="41">
        <v>1</v>
      </c>
      <c r="I53" s="41" t="s">
        <v>98</v>
      </c>
      <c r="J53" s="41">
        <f t="shared" si="3"/>
        <v>-1000000</v>
      </c>
      <c r="K53" s="41" t="s">
        <v>50</v>
      </c>
      <c r="L53" s="41">
        <v>1</v>
      </c>
      <c r="M53" s="41" t="s">
        <v>99</v>
      </c>
      <c r="N53" s="41">
        <v>130</v>
      </c>
      <c r="O53" s="41" t="s">
        <v>57</v>
      </c>
      <c r="P53" s="41" t="s">
        <v>13</v>
      </c>
      <c r="Q53" s="41" t="s">
        <v>53</v>
      </c>
      <c r="S53" s="41" t="s">
        <v>100</v>
      </c>
      <c r="T53" s="41" t="s">
        <v>54</v>
      </c>
      <c r="U53" s="41">
        <f t="shared" si="2"/>
        <v>9.9999999999999995E-7</v>
      </c>
    </row>
    <row r="54" spans="1:21" s="41" customFormat="1">
      <c r="A54" s="41">
        <v>2045</v>
      </c>
      <c r="B54" s="41" t="s">
        <v>13</v>
      </c>
      <c r="D54" s="41" t="s">
        <v>13</v>
      </c>
      <c r="E54" s="41" t="s">
        <v>96</v>
      </c>
      <c r="F54" s="41">
        <v>236</v>
      </c>
      <c r="G54" s="41" t="s">
        <v>97</v>
      </c>
      <c r="H54" s="41">
        <v>1</v>
      </c>
      <c r="I54" s="41" t="s">
        <v>98</v>
      </c>
      <c r="J54" s="41">
        <f t="shared" si="3"/>
        <v>-1000000</v>
      </c>
      <c r="K54" s="41" t="s">
        <v>50</v>
      </c>
      <c r="L54" s="41">
        <v>1</v>
      </c>
      <c r="M54" s="41" t="s">
        <v>99</v>
      </c>
      <c r="N54" s="41">
        <v>130</v>
      </c>
      <c r="O54" s="41" t="s">
        <v>57</v>
      </c>
      <c r="P54" s="41" t="s">
        <v>13</v>
      </c>
      <c r="Q54" s="41" t="s">
        <v>53</v>
      </c>
      <c r="S54" s="41" t="s">
        <v>100</v>
      </c>
      <c r="T54" s="41" t="s">
        <v>54</v>
      </c>
      <c r="U54" s="41">
        <f t="shared" si="2"/>
        <v>9.9999999999999995E-7</v>
      </c>
    </row>
    <row r="55" spans="1:21" s="41" customFormat="1">
      <c r="A55" s="41">
        <v>2022</v>
      </c>
      <c r="B55" s="41" t="s">
        <v>24</v>
      </c>
      <c r="C55" s="41" t="s">
        <v>101</v>
      </c>
      <c r="D55" s="41" t="s">
        <v>4</v>
      </c>
      <c r="E55" s="41" t="s">
        <v>102</v>
      </c>
      <c r="F55" s="41">
        <v>0.88</v>
      </c>
      <c r="G55" s="41" t="s">
        <v>103</v>
      </c>
      <c r="H55" s="41">
        <v>235</v>
      </c>
      <c r="I55" s="41" t="s">
        <v>104</v>
      </c>
      <c r="J55" s="41">
        <v>66</v>
      </c>
      <c r="K55" s="41" t="s">
        <v>59</v>
      </c>
      <c r="L55" s="41">
        <v>1</v>
      </c>
      <c r="M55" s="41" t="s">
        <v>105</v>
      </c>
      <c r="N55" s="44"/>
      <c r="O55" s="41" t="s">
        <v>61</v>
      </c>
      <c r="P55" s="41" t="s">
        <v>106</v>
      </c>
      <c r="Q55" s="41" t="s">
        <v>78</v>
      </c>
      <c r="S55" s="41" t="s">
        <v>24</v>
      </c>
      <c r="T55" s="41" t="s">
        <v>64</v>
      </c>
      <c r="U55" s="41">
        <f>1/81.51/1000000</f>
        <v>1.2268433321064899E-8</v>
      </c>
    </row>
    <row r="56" spans="1:21" s="41" customFormat="1">
      <c r="A56" s="41">
        <v>2023</v>
      </c>
      <c r="B56" s="41" t="s">
        <v>24</v>
      </c>
      <c r="C56" s="41" t="s">
        <v>107</v>
      </c>
      <c r="D56" s="41" t="s">
        <v>4</v>
      </c>
      <c r="E56" s="41" t="s">
        <v>102</v>
      </c>
      <c r="F56" s="41">
        <v>0.88</v>
      </c>
      <c r="G56" s="41" t="s">
        <v>103</v>
      </c>
      <c r="H56" s="41">
        <v>235</v>
      </c>
      <c r="I56" s="41" t="s">
        <v>104</v>
      </c>
      <c r="J56" s="41">
        <v>59</v>
      </c>
      <c r="K56" s="41" t="s">
        <v>59</v>
      </c>
      <c r="L56" s="41">
        <v>1</v>
      </c>
      <c r="M56" s="41" t="s">
        <v>108</v>
      </c>
      <c r="O56" s="41" t="s">
        <v>61</v>
      </c>
      <c r="P56" s="41" t="s">
        <v>106</v>
      </c>
      <c r="Q56" s="41" t="s">
        <v>78</v>
      </c>
      <c r="S56" s="41" t="s">
        <v>24</v>
      </c>
      <c r="T56" s="41" t="s">
        <v>64</v>
      </c>
      <c r="U56" s="41">
        <f>1/81.51/1000000</f>
        <v>1.2268433321064899E-8</v>
      </c>
    </row>
    <row r="57" spans="1:21" s="41" customFormat="1">
      <c r="A57" s="41">
        <v>2024</v>
      </c>
      <c r="B57" s="41" t="s">
        <v>24</v>
      </c>
      <c r="C57" s="41" t="s">
        <v>107</v>
      </c>
      <c r="D57" s="41" t="s">
        <v>4</v>
      </c>
      <c r="E57" s="41" t="s">
        <v>102</v>
      </c>
      <c r="F57" s="41">
        <v>0.88</v>
      </c>
      <c r="G57" s="41" t="s">
        <v>103</v>
      </c>
      <c r="H57" s="41">
        <v>235</v>
      </c>
      <c r="I57" s="41" t="s">
        <v>104</v>
      </c>
      <c r="J57" s="41">
        <v>59</v>
      </c>
      <c r="K57" s="41" t="s">
        <v>59</v>
      </c>
      <c r="L57" s="41">
        <v>1</v>
      </c>
      <c r="M57" s="41" t="s">
        <v>108</v>
      </c>
      <c r="O57" s="41" t="s">
        <v>61</v>
      </c>
      <c r="P57" s="41" t="s">
        <v>106</v>
      </c>
      <c r="Q57" s="41" t="s">
        <v>78</v>
      </c>
      <c r="S57" s="41" t="s">
        <v>24</v>
      </c>
      <c r="T57" s="41" t="s">
        <v>64</v>
      </c>
      <c r="U57" s="41">
        <f>1/81.51/1000000</f>
        <v>1.2268433321064899E-8</v>
      </c>
    </row>
    <row r="58" spans="1:21" s="41" customFormat="1">
      <c r="A58" s="41">
        <v>2025</v>
      </c>
      <c r="B58" s="41" t="s">
        <v>24</v>
      </c>
      <c r="D58" s="41" t="s">
        <v>4</v>
      </c>
      <c r="E58" s="41" t="s">
        <v>102</v>
      </c>
      <c r="F58" s="41">
        <v>0.88</v>
      </c>
      <c r="G58" s="41" t="s">
        <v>103</v>
      </c>
      <c r="H58" s="41">
        <v>235</v>
      </c>
      <c r="I58" s="41" t="s">
        <v>104</v>
      </c>
      <c r="J58" s="41">
        <v>58</v>
      </c>
      <c r="K58" s="41" t="s">
        <v>59</v>
      </c>
      <c r="L58" s="41">
        <v>1</v>
      </c>
      <c r="M58" s="41" t="s">
        <v>108</v>
      </c>
      <c r="O58" s="41" t="s">
        <v>61</v>
      </c>
      <c r="P58" s="41" t="s">
        <v>106</v>
      </c>
      <c r="Q58" s="41" t="s">
        <v>78</v>
      </c>
      <c r="S58" s="41" t="s">
        <v>24</v>
      </c>
      <c r="T58" s="41" t="s">
        <v>64</v>
      </c>
      <c r="U58" s="41">
        <f t="shared" ref="U58:U75" si="4">1/81.51/1000000</f>
        <v>1.2268433321064899E-8</v>
      </c>
    </row>
    <row r="59" spans="1:21" s="41" customFormat="1">
      <c r="A59" s="41">
        <v>2026</v>
      </c>
      <c r="B59" s="41" t="s">
        <v>24</v>
      </c>
      <c r="D59" s="41" t="s">
        <v>4</v>
      </c>
      <c r="E59" s="41" t="s">
        <v>102</v>
      </c>
      <c r="F59" s="41">
        <v>0.88</v>
      </c>
      <c r="G59" s="41" t="s">
        <v>103</v>
      </c>
      <c r="H59" s="41">
        <v>235</v>
      </c>
      <c r="I59" s="41" t="s">
        <v>104</v>
      </c>
      <c r="J59" s="41">
        <v>58</v>
      </c>
      <c r="K59" s="41" t="s">
        <v>59</v>
      </c>
      <c r="L59" s="41">
        <v>1</v>
      </c>
      <c r="M59" s="41" t="s">
        <v>108</v>
      </c>
      <c r="O59" s="41" t="s">
        <v>61</v>
      </c>
      <c r="P59" s="41" t="s">
        <v>106</v>
      </c>
      <c r="Q59" s="41" t="s">
        <v>78</v>
      </c>
      <c r="S59" s="41" t="s">
        <v>24</v>
      </c>
      <c r="T59" s="41" t="s">
        <v>64</v>
      </c>
      <c r="U59" s="41">
        <f t="shared" si="4"/>
        <v>1.2268433321064899E-8</v>
      </c>
    </row>
    <row r="60" spans="1:21" s="41" customFormat="1">
      <c r="A60" s="41">
        <v>2027</v>
      </c>
      <c r="B60" s="41" t="s">
        <v>24</v>
      </c>
      <c r="D60" s="41" t="s">
        <v>4</v>
      </c>
      <c r="E60" s="41" t="s">
        <v>102</v>
      </c>
      <c r="F60" s="41">
        <v>0.88</v>
      </c>
      <c r="G60" s="41" t="s">
        <v>103</v>
      </c>
      <c r="H60" s="41">
        <v>235</v>
      </c>
      <c r="I60" s="41" t="s">
        <v>104</v>
      </c>
      <c r="J60" s="41">
        <v>57</v>
      </c>
      <c r="K60" s="41" t="s">
        <v>59</v>
      </c>
      <c r="L60" s="41">
        <v>1</v>
      </c>
      <c r="M60" s="41" t="s">
        <v>108</v>
      </c>
      <c r="O60" s="41" t="s">
        <v>61</v>
      </c>
      <c r="P60" s="41" t="s">
        <v>106</v>
      </c>
      <c r="Q60" s="41" t="s">
        <v>78</v>
      </c>
      <c r="S60" s="41" t="s">
        <v>24</v>
      </c>
      <c r="T60" s="41" t="s">
        <v>64</v>
      </c>
      <c r="U60" s="41">
        <f t="shared" si="4"/>
        <v>1.2268433321064899E-8</v>
      </c>
    </row>
    <row r="61" spans="1:21" s="41" customFormat="1">
      <c r="A61" s="41">
        <v>2028</v>
      </c>
      <c r="B61" s="41" t="s">
        <v>24</v>
      </c>
      <c r="D61" s="41" t="s">
        <v>4</v>
      </c>
      <c r="E61" s="41" t="s">
        <v>102</v>
      </c>
      <c r="F61" s="41">
        <v>0.88</v>
      </c>
      <c r="G61" s="41" t="s">
        <v>103</v>
      </c>
      <c r="H61" s="41">
        <v>235</v>
      </c>
      <c r="I61" s="41" t="s">
        <v>104</v>
      </c>
      <c r="J61" s="41">
        <v>57</v>
      </c>
      <c r="K61" s="41" t="s">
        <v>59</v>
      </c>
      <c r="L61" s="41">
        <v>1</v>
      </c>
      <c r="M61" s="41" t="s">
        <v>108</v>
      </c>
      <c r="O61" s="41" t="s">
        <v>61</v>
      </c>
      <c r="P61" s="41" t="s">
        <v>106</v>
      </c>
      <c r="Q61" s="41" t="s">
        <v>78</v>
      </c>
      <c r="S61" s="41" t="s">
        <v>24</v>
      </c>
      <c r="T61" s="41" t="s">
        <v>64</v>
      </c>
      <c r="U61" s="41">
        <f t="shared" si="4"/>
        <v>1.2268433321064899E-8</v>
      </c>
    </row>
    <row r="62" spans="1:21" s="41" customFormat="1">
      <c r="A62" s="41">
        <v>2029</v>
      </c>
      <c r="B62" s="41" t="s">
        <v>24</v>
      </c>
      <c r="D62" s="41" t="s">
        <v>4</v>
      </c>
      <c r="E62" s="41" t="s">
        <v>102</v>
      </c>
      <c r="F62" s="41">
        <v>0.88</v>
      </c>
      <c r="G62" s="41" t="s">
        <v>103</v>
      </c>
      <c r="H62" s="41">
        <v>235</v>
      </c>
      <c r="I62" s="41" t="s">
        <v>104</v>
      </c>
      <c r="J62" s="41">
        <v>56</v>
      </c>
      <c r="K62" s="41" t="s">
        <v>59</v>
      </c>
      <c r="L62" s="41">
        <v>1</v>
      </c>
      <c r="M62" s="41" t="s">
        <v>108</v>
      </c>
      <c r="O62" s="41" t="s">
        <v>61</v>
      </c>
      <c r="P62" s="41" t="s">
        <v>106</v>
      </c>
      <c r="Q62" s="41" t="s">
        <v>78</v>
      </c>
      <c r="S62" s="41" t="s">
        <v>24</v>
      </c>
      <c r="T62" s="41" t="s">
        <v>64</v>
      </c>
      <c r="U62" s="41">
        <f t="shared" si="4"/>
        <v>1.2268433321064899E-8</v>
      </c>
    </row>
    <row r="63" spans="1:21" s="41" customFormat="1">
      <c r="A63" s="41">
        <v>2030</v>
      </c>
      <c r="B63" s="41" t="s">
        <v>24</v>
      </c>
      <c r="D63" s="41" t="s">
        <v>4</v>
      </c>
      <c r="E63" s="41" t="s">
        <v>102</v>
      </c>
      <c r="F63" s="41">
        <v>0.88</v>
      </c>
      <c r="G63" s="41" t="s">
        <v>103</v>
      </c>
      <c r="H63" s="41">
        <v>235</v>
      </c>
      <c r="I63" s="41" t="s">
        <v>104</v>
      </c>
      <c r="J63" s="41">
        <v>56</v>
      </c>
      <c r="K63" s="41" t="s">
        <v>59</v>
      </c>
      <c r="L63" s="41">
        <v>1</v>
      </c>
      <c r="M63" s="41" t="s">
        <v>108</v>
      </c>
      <c r="O63" s="41" t="s">
        <v>61</v>
      </c>
      <c r="P63" s="41" t="s">
        <v>106</v>
      </c>
      <c r="Q63" s="41" t="s">
        <v>78</v>
      </c>
      <c r="S63" s="41" t="s">
        <v>24</v>
      </c>
      <c r="T63" s="41" t="s">
        <v>64</v>
      </c>
      <c r="U63" s="41">
        <f t="shared" si="4"/>
        <v>1.2268433321064899E-8</v>
      </c>
    </row>
    <row r="64" spans="1:21" s="41" customFormat="1">
      <c r="A64" s="41">
        <v>2031</v>
      </c>
      <c r="B64" s="41" t="s">
        <v>24</v>
      </c>
      <c r="D64" s="41" t="s">
        <v>4</v>
      </c>
      <c r="E64" s="41" t="s">
        <v>102</v>
      </c>
      <c r="F64" s="41">
        <v>0.88</v>
      </c>
      <c r="G64" s="41" t="s">
        <v>103</v>
      </c>
      <c r="H64" s="41">
        <v>235</v>
      </c>
      <c r="I64" s="41" t="s">
        <v>104</v>
      </c>
      <c r="J64" s="41">
        <v>55</v>
      </c>
      <c r="K64" s="41" t="s">
        <v>59</v>
      </c>
      <c r="L64" s="41">
        <v>1</v>
      </c>
      <c r="M64" s="41" t="s">
        <v>108</v>
      </c>
      <c r="O64" s="41" t="s">
        <v>61</v>
      </c>
      <c r="P64" s="41" t="s">
        <v>106</v>
      </c>
      <c r="Q64" s="41" t="s">
        <v>78</v>
      </c>
      <c r="S64" s="41" t="s">
        <v>24</v>
      </c>
      <c r="T64" s="41" t="s">
        <v>64</v>
      </c>
      <c r="U64" s="41">
        <f t="shared" si="4"/>
        <v>1.2268433321064899E-8</v>
      </c>
    </row>
    <row r="65" spans="1:21" s="41" customFormat="1">
      <c r="A65" s="41">
        <v>2032</v>
      </c>
      <c r="B65" s="41" t="s">
        <v>24</v>
      </c>
      <c r="D65" s="41" t="s">
        <v>4</v>
      </c>
      <c r="E65" s="41" t="s">
        <v>102</v>
      </c>
      <c r="F65" s="41">
        <v>0.88</v>
      </c>
      <c r="G65" s="41" t="s">
        <v>103</v>
      </c>
      <c r="H65" s="41">
        <v>235</v>
      </c>
      <c r="I65" s="41" t="s">
        <v>104</v>
      </c>
      <c r="J65" s="41">
        <v>55</v>
      </c>
      <c r="K65" s="41" t="s">
        <v>59</v>
      </c>
      <c r="L65" s="41">
        <v>1</v>
      </c>
      <c r="M65" s="41" t="s">
        <v>108</v>
      </c>
      <c r="O65" s="41" t="s">
        <v>61</v>
      </c>
      <c r="P65" s="41" t="s">
        <v>106</v>
      </c>
      <c r="Q65" s="41" t="s">
        <v>78</v>
      </c>
      <c r="S65" s="41" t="s">
        <v>24</v>
      </c>
      <c r="T65" s="41" t="s">
        <v>64</v>
      </c>
      <c r="U65" s="41">
        <f t="shared" si="4"/>
        <v>1.2268433321064899E-8</v>
      </c>
    </row>
    <row r="66" spans="1:21" s="41" customFormat="1">
      <c r="A66" s="41">
        <v>2033</v>
      </c>
      <c r="B66" s="41" t="s">
        <v>24</v>
      </c>
      <c r="D66" s="41" t="s">
        <v>4</v>
      </c>
      <c r="E66" s="41" t="s">
        <v>102</v>
      </c>
      <c r="F66" s="41">
        <v>0.88</v>
      </c>
      <c r="G66" s="41" t="s">
        <v>103</v>
      </c>
      <c r="H66" s="41">
        <v>235</v>
      </c>
      <c r="I66" s="41" t="s">
        <v>104</v>
      </c>
      <c r="J66" s="41">
        <v>55</v>
      </c>
      <c r="K66" s="41" t="s">
        <v>59</v>
      </c>
      <c r="L66" s="41">
        <v>1</v>
      </c>
      <c r="M66" s="41" t="s">
        <v>108</v>
      </c>
      <c r="O66" s="41" t="s">
        <v>61</v>
      </c>
      <c r="P66" s="41" t="s">
        <v>106</v>
      </c>
      <c r="Q66" s="41" t="s">
        <v>78</v>
      </c>
      <c r="S66" s="41" t="s">
        <v>24</v>
      </c>
      <c r="T66" s="41" t="s">
        <v>64</v>
      </c>
      <c r="U66" s="41">
        <f t="shared" si="4"/>
        <v>1.2268433321064899E-8</v>
      </c>
    </row>
    <row r="67" spans="1:21" s="41" customFormat="1">
      <c r="A67" s="41">
        <v>2034</v>
      </c>
      <c r="B67" s="41" t="s">
        <v>24</v>
      </c>
      <c r="D67" s="41" t="s">
        <v>4</v>
      </c>
      <c r="E67" s="41" t="s">
        <v>102</v>
      </c>
      <c r="F67" s="41">
        <v>0.88</v>
      </c>
      <c r="G67" s="41" t="s">
        <v>103</v>
      </c>
      <c r="H67" s="41">
        <v>235</v>
      </c>
      <c r="I67" s="41" t="s">
        <v>104</v>
      </c>
      <c r="J67" s="41">
        <v>54</v>
      </c>
      <c r="K67" s="41" t="s">
        <v>59</v>
      </c>
      <c r="L67" s="41">
        <v>1</v>
      </c>
      <c r="M67" s="41" t="s">
        <v>108</v>
      </c>
      <c r="O67" s="41" t="s">
        <v>61</v>
      </c>
      <c r="P67" s="41" t="s">
        <v>106</v>
      </c>
      <c r="Q67" s="41" t="s">
        <v>78</v>
      </c>
      <c r="S67" s="41" t="s">
        <v>24</v>
      </c>
      <c r="T67" s="41" t="s">
        <v>64</v>
      </c>
      <c r="U67" s="41">
        <f t="shared" si="4"/>
        <v>1.2268433321064899E-8</v>
      </c>
    </row>
    <row r="68" spans="1:21" s="41" customFormat="1">
      <c r="A68" s="41">
        <v>2035</v>
      </c>
      <c r="B68" s="41" t="s">
        <v>24</v>
      </c>
      <c r="D68" s="41" t="s">
        <v>4</v>
      </c>
      <c r="E68" s="41" t="s">
        <v>102</v>
      </c>
      <c r="F68" s="41">
        <v>0.88</v>
      </c>
      <c r="G68" s="41" t="s">
        <v>103</v>
      </c>
      <c r="H68" s="41">
        <v>235</v>
      </c>
      <c r="I68" s="41" t="s">
        <v>104</v>
      </c>
      <c r="J68" s="41">
        <v>54</v>
      </c>
      <c r="K68" s="41" t="s">
        <v>59</v>
      </c>
      <c r="L68" s="41">
        <v>1</v>
      </c>
      <c r="M68" s="41" t="s">
        <v>108</v>
      </c>
      <c r="O68" s="41" t="s">
        <v>61</v>
      </c>
      <c r="P68" s="41" t="s">
        <v>106</v>
      </c>
      <c r="Q68" s="41" t="s">
        <v>78</v>
      </c>
      <c r="S68" s="41" t="s">
        <v>24</v>
      </c>
      <c r="T68" s="41" t="s">
        <v>64</v>
      </c>
      <c r="U68" s="41">
        <f t="shared" si="4"/>
        <v>1.2268433321064899E-8</v>
      </c>
    </row>
    <row r="69" spans="1:21" s="41" customFormat="1">
      <c r="A69" s="41">
        <v>2036</v>
      </c>
      <c r="B69" s="41" t="s">
        <v>24</v>
      </c>
      <c r="D69" s="41" t="s">
        <v>4</v>
      </c>
      <c r="E69" s="41" t="s">
        <v>102</v>
      </c>
      <c r="F69" s="41">
        <v>0.88</v>
      </c>
      <c r="G69" s="41" t="s">
        <v>103</v>
      </c>
      <c r="H69" s="41">
        <v>235</v>
      </c>
      <c r="I69" s="41" t="s">
        <v>104</v>
      </c>
      <c r="J69" s="41">
        <v>54</v>
      </c>
      <c r="K69" s="41" t="s">
        <v>59</v>
      </c>
      <c r="L69" s="41">
        <v>1</v>
      </c>
      <c r="M69" s="41" t="s">
        <v>108</v>
      </c>
      <c r="O69" s="41" t="s">
        <v>61</v>
      </c>
      <c r="P69" s="41" t="s">
        <v>106</v>
      </c>
      <c r="Q69" s="41" t="s">
        <v>78</v>
      </c>
      <c r="S69" s="41" t="s">
        <v>24</v>
      </c>
      <c r="T69" s="41" t="s">
        <v>64</v>
      </c>
      <c r="U69" s="41">
        <f t="shared" si="4"/>
        <v>1.2268433321064899E-8</v>
      </c>
    </row>
    <row r="70" spans="1:21" s="41" customFormat="1">
      <c r="A70" s="41">
        <v>2037</v>
      </c>
      <c r="B70" s="41" t="s">
        <v>24</v>
      </c>
      <c r="D70" s="41" t="s">
        <v>4</v>
      </c>
      <c r="E70" s="41" t="s">
        <v>102</v>
      </c>
      <c r="F70" s="41">
        <v>0.88</v>
      </c>
      <c r="G70" s="41" t="s">
        <v>103</v>
      </c>
      <c r="H70" s="41">
        <v>235</v>
      </c>
      <c r="I70" s="41" t="s">
        <v>104</v>
      </c>
      <c r="J70" s="41">
        <v>54</v>
      </c>
      <c r="K70" s="41" t="s">
        <v>59</v>
      </c>
      <c r="L70" s="41">
        <v>1</v>
      </c>
      <c r="M70" s="41" t="s">
        <v>108</v>
      </c>
      <c r="O70" s="41" t="s">
        <v>61</v>
      </c>
      <c r="P70" s="41" t="s">
        <v>106</v>
      </c>
      <c r="Q70" s="41" t="s">
        <v>78</v>
      </c>
      <c r="S70" s="41" t="s">
        <v>24</v>
      </c>
      <c r="T70" s="41" t="s">
        <v>64</v>
      </c>
      <c r="U70" s="41">
        <f t="shared" si="4"/>
        <v>1.2268433321064899E-8</v>
      </c>
    </row>
    <row r="71" spans="1:21" s="41" customFormat="1">
      <c r="A71" s="41">
        <v>2038</v>
      </c>
      <c r="B71" s="41" t="s">
        <v>24</v>
      </c>
      <c r="D71" s="41" t="s">
        <v>4</v>
      </c>
      <c r="E71" s="41" t="s">
        <v>102</v>
      </c>
      <c r="F71" s="41">
        <v>0.88</v>
      </c>
      <c r="G71" s="41" t="s">
        <v>103</v>
      </c>
      <c r="H71" s="41">
        <v>235</v>
      </c>
      <c r="I71" s="41" t="s">
        <v>104</v>
      </c>
      <c r="J71" s="41">
        <v>53</v>
      </c>
      <c r="K71" s="41" t="s">
        <v>59</v>
      </c>
      <c r="L71" s="41">
        <v>1</v>
      </c>
      <c r="M71" s="41" t="s">
        <v>108</v>
      </c>
      <c r="O71" s="41" t="s">
        <v>61</v>
      </c>
      <c r="P71" s="41" t="s">
        <v>106</v>
      </c>
      <c r="Q71" s="41" t="s">
        <v>78</v>
      </c>
      <c r="S71" s="41" t="s">
        <v>24</v>
      </c>
      <c r="T71" s="41" t="s">
        <v>64</v>
      </c>
      <c r="U71" s="41">
        <f t="shared" si="4"/>
        <v>1.2268433321064899E-8</v>
      </c>
    </row>
    <row r="72" spans="1:21" s="41" customFormat="1">
      <c r="A72" s="41">
        <v>2039</v>
      </c>
      <c r="B72" s="41" t="s">
        <v>24</v>
      </c>
      <c r="D72" s="41" t="s">
        <v>4</v>
      </c>
      <c r="E72" s="41" t="s">
        <v>102</v>
      </c>
      <c r="F72" s="41">
        <v>0.88</v>
      </c>
      <c r="G72" s="41" t="s">
        <v>103</v>
      </c>
      <c r="H72" s="41">
        <v>235</v>
      </c>
      <c r="I72" s="41" t="s">
        <v>104</v>
      </c>
      <c r="J72" s="41">
        <v>53</v>
      </c>
      <c r="K72" s="41" t="s">
        <v>59</v>
      </c>
      <c r="L72" s="41">
        <v>1</v>
      </c>
      <c r="M72" s="41" t="s">
        <v>108</v>
      </c>
      <c r="O72" s="41" t="s">
        <v>61</v>
      </c>
      <c r="P72" s="41" t="s">
        <v>106</v>
      </c>
      <c r="Q72" s="41" t="s">
        <v>78</v>
      </c>
      <c r="S72" s="41" t="s">
        <v>24</v>
      </c>
      <c r="T72" s="41" t="s">
        <v>64</v>
      </c>
      <c r="U72" s="41">
        <f t="shared" si="4"/>
        <v>1.2268433321064899E-8</v>
      </c>
    </row>
    <row r="73" spans="1:21" s="41" customFormat="1">
      <c r="A73" s="41">
        <v>2040</v>
      </c>
      <c r="B73" s="41" t="s">
        <v>24</v>
      </c>
      <c r="D73" s="41" t="s">
        <v>4</v>
      </c>
      <c r="E73" s="41" t="s">
        <v>102</v>
      </c>
      <c r="F73" s="41">
        <v>0.88</v>
      </c>
      <c r="G73" s="41" t="s">
        <v>103</v>
      </c>
      <c r="H73" s="41">
        <v>235</v>
      </c>
      <c r="I73" s="41" t="s">
        <v>104</v>
      </c>
      <c r="J73" s="41">
        <v>53</v>
      </c>
      <c r="K73" s="41" t="s">
        <v>59</v>
      </c>
      <c r="L73" s="41">
        <v>1</v>
      </c>
      <c r="M73" s="41" t="s">
        <v>108</v>
      </c>
      <c r="O73" s="41" t="s">
        <v>61</v>
      </c>
      <c r="P73" s="41" t="s">
        <v>106</v>
      </c>
      <c r="Q73" s="41" t="s">
        <v>78</v>
      </c>
      <c r="S73" s="41" t="s">
        <v>24</v>
      </c>
      <c r="T73" s="41" t="s">
        <v>64</v>
      </c>
      <c r="U73" s="41">
        <f t="shared" si="4"/>
        <v>1.2268433321064899E-8</v>
      </c>
    </row>
    <row r="74" spans="1:21" s="41" customFormat="1">
      <c r="A74" s="41">
        <v>2041</v>
      </c>
      <c r="B74" s="41" t="s">
        <v>24</v>
      </c>
      <c r="D74" s="41" t="s">
        <v>4</v>
      </c>
      <c r="E74" s="41" t="s">
        <v>102</v>
      </c>
      <c r="F74" s="41">
        <v>0.88</v>
      </c>
      <c r="G74" s="41" t="s">
        <v>103</v>
      </c>
      <c r="H74" s="41">
        <v>235</v>
      </c>
      <c r="I74" s="41" t="s">
        <v>104</v>
      </c>
      <c r="J74" s="41">
        <v>53</v>
      </c>
      <c r="K74" s="41" t="s">
        <v>59</v>
      </c>
      <c r="L74" s="41">
        <v>1</v>
      </c>
      <c r="M74" s="41" t="s">
        <v>108</v>
      </c>
      <c r="O74" s="41" t="s">
        <v>61</v>
      </c>
      <c r="P74" s="41" t="s">
        <v>106</v>
      </c>
      <c r="Q74" s="41" t="s">
        <v>78</v>
      </c>
      <c r="S74" s="41" t="s">
        <v>24</v>
      </c>
      <c r="T74" s="41" t="s">
        <v>64</v>
      </c>
      <c r="U74" s="41">
        <f t="shared" si="4"/>
        <v>1.2268433321064899E-8</v>
      </c>
    </row>
    <row r="75" spans="1:21" s="41" customFormat="1">
      <c r="A75" s="41">
        <v>2042</v>
      </c>
      <c r="B75" s="41" t="s">
        <v>24</v>
      </c>
      <c r="D75" s="41" t="s">
        <v>4</v>
      </c>
      <c r="E75" s="41" t="s">
        <v>102</v>
      </c>
      <c r="F75" s="41">
        <v>0.88</v>
      </c>
      <c r="G75" s="41" t="s">
        <v>103</v>
      </c>
      <c r="H75" s="41">
        <v>235</v>
      </c>
      <c r="I75" s="41" t="s">
        <v>104</v>
      </c>
      <c r="J75" s="41">
        <v>52</v>
      </c>
      <c r="K75" s="41" t="s">
        <v>59</v>
      </c>
      <c r="L75" s="41">
        <v>1</v>
      </c>
      <c r="M75" s="41" t="s">
        <v>108</v>
      </c>
      <c r="O75" s="41" t="s">
        <v>61</v>
      </c>
      <c r="P75" s="41" t="s">
        <v>106</v>
      </c>
      <c r="Q75" s="41" t="s">
        <v>78</v>
      </c>
      <c r="S75" s="41" t="s">
        <v>24</v>
      </c>
      <c r="T75" s="41" t="s">
        <v>64</v>
      </c>
      <c r="U75" s="41">
        <f t="shared" si="4"/>
        <v>1.2268433321064899E-8</v>
      </c>
    </row>
    <row r="76" spans="1:21" s="41" customFormat="1">
      <c r="A76" s="41">
        <v>2024</v>
      </c>
      <c r="B76" s="41" t="s">
        <v>24</v>
      </c>
      <c r="C76" s="41" t="s">
        <v>109</v>
      </c>
      <c r="D76" s="41" t="s">
        <v>4</v>
      </c>
      <c r="E76" s="41" t="s">
        <v>110</v>
      </c>
      <c r="F76" s="41">
        <v>1001</v>
      </c>
      <c r="G76" s="41" t="s">
        <v>103</v>
      </c>
      <c r="H76" s="41">
        <v>235</v>
      </c>
      <c r="I76" s="41" t="s">
        <v>104</v>
      </c>
      <c r="J76" s="41">
        <v>35</v>
      </c>
      <c r="K76" s="41" t="s">
        <v>59</v>
      </c>
      <c r="L76" s="41">
        <v>1</v>
      </c>
      <c r="M76" s="41" t="s">
        <v>111</v>
      </c>
      <c r="N76" s="45">
        <f>35/1000000*60</f>
        <v>2.0999999999999999E-3</v>
      </c>
      <c r="O76" s="41" t="s">
        <v>61</v>
      </c>
      <c r="P76" s="41" t="s">
        <v>106</v>
      </c>
      <c r="Q76" s="41" t="s">
        <v>78</v>
      </c>
      <c r="S76" s="41" t="s">
        <v>24</v>
      </c>
      <c r="T76" s="41" t="s">
        <v>64</v>
      </c>
      <c r="U76" s="41">
        <f>1/81.51/1000000</f>
        <v>1.2268433321064899E-8</v>
      </c>
    </row>
    <row r="77" spans="1:21" s="41" customFormat="1">
      <c r="A77" s="41">
        <v>2025</v>
      </c>
      <c r="B77" s="41" t="s">
        <v>24</v>
      </c>
      <c r="C77" s="41" t="s">
        <v>109</v>
      </c>
      <c r="D77" s="41" t="s">
        <v>4</v>
      </c>
      <c r="E77" s="41" t="s">
        <v>110</v>
      </c>
      <c r="F77" s="41">
        <v>1.3</v>
      </c>
      <c r="G77" s="41" t="s">
        <v>103</v>
      </c>
      <c r="H77" s="41">
        <v>235</v>
      </c>
      <c r="I77" s="41" t="s">
        <v>104</v>
      </c>
      <c r="J77" s="41">
        <v>35</v>
      </c>
      <c r="K77" s="41" t="s">
        <v>59</v>
      </c>
      <c r="L77" s="41">
        <v>1</v>
      </c>
      <c r="M77" s="41" t="s">
        <v>111</v>
      </c>
      <c r="N77" s="45">
        <f>35/1000000*60</f>
        <v>2.0999999999999999E-3</v>
      </c>
      <c r="O77" s="41" t="s">
        <v>61</v>
      </c>
      <c r="P77" s="41" t="s">
        <v>106</v>
      </c>
      <c r="Q77" s="41" t="s">
        <v>78</v>
      </c>
      <c r="S77" s="41" t="s">
        <v>24</v>
      </c>
      <c r="T77" s="41" t="s">
        <v>64</v>
      </c>
      <c r="U77" s="41">
        <f>1/81.51/1000000</f>
        <v>1.2268433321064899E-8</v>
      </c>
    </row>
    <row r="78" spans="1:21" s="41" customFormat="1">
      <c r="A78" s="41">
        <v>2022</v>
      </c>
      <c r="B78" s="41" t="s">
        <v>112</v>
      </c>
      <c r="D78" s="41" t="s">
        <v>15</v>
      </c>
      <c r="E78" s="41" t="s">
        <v>15</v>
      </c>
      <c r="F78" s="41">
        <v>1001</v>
      </c>
      <c r="G78" s="41" t="s">
        <v>48</v>
      </c>
      <c r="H78" s="41">
        <v>1</v>
      </c>
      <c r="I78" s="41" t="s">
        <v>49</v>
      </c>
      <c r="J78" s="41">
        <f>-1000000</f>
        <v>-1000000</v>
      </c>
      <c r="K78" s="41" t="s">
        <v>50</v>
      </c>
      <c r="L78" s="41">
        <v>1</v>
      </c>
      <c r="M78" s="41" t="s">
        <v>51</v>
      </c>
      <c r="P78" s="41" t="s">
        <v>112</v>
      </c>
      <c r="Q78" s="41" t="s">
        <v>53</v>
      </c>
      <c r="S78" s="41" t="s">
        <v>113</v>
      </c>
      <c r="T78" s="41" t="s">
        <v>54</v>
      </c>
      <c r="U78" s="41">
        <f>1/1000000</f>
        <v>9.9999999999999995E-7</v>
      </c>
    </row>
    <row r="79" spans="1:21" s="41" customFormat="1">
      <c r="A79" s="41">
        <v>2022</v>
      </c>
      <c r="B79" s="41" t="s">
        <v>114</v>
      </c>
      <c r="C79" s="41" t="s">
        <v>107</v>
      </c>
      <c r="D79" s="41" t="s">
        <v>4</v>
      </c>
      <c r="E79" s="41" t="s">
        <v>102</v>
      </c>
      <c r="F79" s="41">
        <v>0.88</v>
      </c>
      <c r="G79" s="41" t="s">
        <v>103</v>
      </c>
      <c r="H79" s="41">
        <v>235</v>
      </c>
      <c r="I79" s="41" t="s">
        <v>104</v>
      </c>
      <c r="J79" s="41">
        <v>66</v>
      </c>
      <c r="K79" s="41" t="s">
        <v>59</v>
      </c>
      <c r="L79" s="41">
        <v>1</v>
      </c>
      <c r="M79" s="41" t="s">
        <v>115</v>
      </c>
      <c r="N79" s="44">
        <v>1.4E-2</v>
      </c>
      <c r="O79" s="41" t="s">
        <v>61</v>
      </c>
      <c r="P79" s="41" t="s">
        <v>106</v>
      </c>
      <c r="Q79" s="41" t="s">
        <v>78</v>
      </c>
      <c r="R79" s="41" t="s">
        <v>116</v>
      </c>
      <c r="S79" s="41" t="s">
        <v>114</v>
      </c>
      <c r="T79" s="41" t="s">
        <v>64</v>
      </c>
      <c r="U79" s="41">
        <f>1/81.51/1000000</f>
        <v>1.2268433321064899E-8</v>
      </c>
    </row>
    <row r="80" spans="1:21" s="41" customFormat="1">
      <c r="A80" s="41">
        <v>2023</v>
      </c>
      <c r="B80" s="41" t="s">
        <v>114</v>
      </c>
      <c r="D80" s="41" t="s">
        <v>4</v>
      </c>
      <c r="E80" s="41" t="s">
        <v>102</v>
      </c>
      <c r="F80" s="41">
        <v>0.88</v>
      </c>
      <c r="G80" s="41" t="s">
        <v>103</v>
      </c>
      <c r="H80" s="41">
        <v>235</v>
      </c>
      <c r="I80" s="41" t="s">
        <v>104</v>
      </c>
      <c r="J80" s="41">
        <v>59</v>
      </c>
      <c r="K80" s="41" t="s">
        <v>59</v>
      </c>
      <c r="L80" s="41">
        <v>1</v>
      </c>
      <c r="M80" s="41" t="s">
        <v>117</v>
      </c>
      <c r="N80" s="41">
        <v>1.4E-2</v>
      </c>
      <c r="O80" s="41" t="s">
        <v>61</v>
      </c>
      <c r="P80" s="41" t="s">
        <v>106</v>
      </c>
      <c r="Q80" s="41" t="s">
        <v>78</v>
      </c>
      <c r="R80" s="41" t="s">
        <v>116</v>
      </c>
      <c r="S80" s="41" t="s">
        <v>114</v>
      </c>
      <c r="T80" s="41" t="s">
        <v>64</v>
      </c>
      <c r="U80" s="41">
        <f t="shared" ref="U80:U99" si="5">1/81.51/1000000</f>
        <v>1.2268433321064899E-8</v>
      </c>
    </row>
    <row r="81" spans="1:21" s="41" customFormat="1">
      <c r="A81" s="41">
        <v>2024</v>
      </c>
      <c r="B81" s="41" t="s">
        <v>114</v>
      </c>
      <c r="D81" s="41" t="s">
        <v>4</v>
      </c>
      <c r="E81" s="41" t="s">
        <v>102</v>
      </c>
      <c r="F81" s="41">
        <v>0.88</v>
      </c>
      <c r="G81" s="41" t="s">
        <v>103</v>
      </c>
      <c r="H81" s="41">
        <v>235</v>
      </c>
      <c r="I81" s="41" t="s">
        <v>104</v>
      </c>
      <c r="J81" s="41">
        <v>59</v>
      </c>
      <c r="K81" s="41" t="s">
        <v>59</v>
      </c>
      <c r="L81" s="41">
        <v>1</v>
      </c>
      <c r="M81" s="41" t="s">
        <v>117</v>
      </c>
      <c r="N81" s="41">
        <v>1.4E-2</v>
      </c>
      <c r="O81" s="41" t="s">
        <v>61</v>
      </c>
      <c r="P81" s="41" t="s">
        <v>106</v>
      </c>
      <c r="Q81" s="41" t="s">
        <v>78</v>
      </c>
      <c r="R81" s="41" t="s">
        <v>116</v>
      </c>
      <c r="S81" s="41" t="s">
        <v>114</v>
      </c>
      <c r="T81" s="41" t="s">
        <v>64</v>
      </c>
      <c r="U81" s="41">
        <f t="shared" si="5"/>
        <v>1.2268433321064899E-8</v>
      </c>
    </row>
    <row r="82" spans="1:21" s="41" customFormat="1">
      <c r="A82" s="41">
        <v>2025</v>
      </c>
      <c r="B82" s="41" t="s">
        <v>114</v>
      </c>
      <c r="D82" s="41" t="s">
        <v>4</v>
      </c>
      <c r="E82" s="41" t="s">
        <v>102</v>
      </c>
      <c r="F82" s="41">
        <v>0.88</v>
      </c>
      <c r="G82" s="41" t="s">
        <v>103</v>
      </c>
      <c r="H82" s="41">
        <v>235</v>
      </c>
      <c r="I82" s="41" t="s">
        <v>104</v>
      </c>
      <c r="J82" s="41">
        <v>58</v>
      </c>
      <c r="K82" s="41" t="s">
        <v>59</v>
      </c>
      <c r="L82" s="41">
        <v>1</v>
      </c>
      <c r="M82" s="41" t="s">
        <v>117</v>
      </c>
      <c r="N82" s="41">
        <v>1.4E-2</v>
      </c>
      <c r="O82" s="41" t="s">
        <v>61</v>
      </c>
      <c r="P82" s="41" t="s">
        <v>106</v>
      </c>
      <c r="Q82" s="41" t="s">
        <v>78</v>
      </c>
      <c r="R82" s="41" t="s">
        <v>116</v>
      </c>
      <c r="S82" s="41" t="s">
        <v>114</v>
      </c>
      <c r="T82" s="41" t="s">
        <v>64</v>
      </c>
      <c r="U82" s="41">
        <f t="shared" si="5"/>
        <v>1.2268433321064899E-8</v>
      </c>
    </row>
    <row r="83" spans="1:21" s="41" customFormat="1">
      <c r="A83" s="41">
        <v>2026</v>
      </c>
      <c r="B83" s="41" t="s">
        <v>114</v>
      </c>
      <c r="D83" s="41" t="s">
        <v>4</v>
      </c>
      <c r="E83" s="41" t="s">
        <v>102</v>
      </c>
      <c r="F83" s="41">
        <v>0.88</v>
      </c>
      <c r="G83" s="41" t="s">
        <v>103</v>
      </c>
      <c r="H83" s="41">
        <v>235</v>
      </c>
      <c r="I83" s="41" t="s">
        <v>104</v>
      </c>
      <c r="J83" s="41">
        <v>58</v>
      </c>
      <c r="K83" s="41" t="s">
        <v>59</v>
      </c>
      <c r="L83" s="41">
        <v>1</v>
      </c>
      <c r="M83" s="41" t="s">
        <v>117</v>
      </c>
      <c r="N83" s="41">
        <v>1.4E-2</v>
      </c>
      <c r="O83" s="41" t="s">
        <v>61</v>
      </c>
      <c r="P83" s="41" t="s">
        <v>106</v>
      </c>
      <c r="Q83" s="41" t="s">
        <v>78</v>
      </c>
      <c r="R83" s="41" t="s">
        <v>116</v>
      </c>
      <c r="S83" s="41" t="s">
        <v>114</v>
      </c>
      <c r="T83" s="41" t="s">
        <v>64</v>
      </c>
      <c r="U83" s="41">
        <f t="shared" si="5"/>
        <v>1.2268433321064899E-8</v>
      </c>
    </row>
    <row r="84" spans="1:21" s="41" customFormat="1">
      <c r="A84" s="41">
        <v>2027</v>
      </c>
      <c r="B84" s="41" t="s">
        <v>114</v>
      </c>
      <c r="D84" s="41" t="s">
        <v>4</v>
      </c>
      <c r="E84" s="41" t="s">
        <v>102</v>
      </c>
      <c r="F84" s="41">
        <v>0.88</v>
      </c>
      <c r="G84" s="41" t="s">
        <v>103</v>
      </c>
      <c r="H84" s="41">
        <v>235</v>
      </c>
      <c r="I84" s="41" t="s">
        <v>104</v>
      </c>
      <c r="J84" s="41">
        <v>57</v>
      </c>
      <c r="K84" s="41" t="s">
        <v>59</v>
      </c>
      <c r="L84" s="41">
        <v>1</v>
      </c>
      <c r="M84" s="41" t="s">
        <v>117</v>
      </c>
      <c r="N84" s="41">
        <v>1.4E-2</v>
      </c>
      <c r="O84" s="41" t="s">
        <v>61</v>
      </c>
      <c r="P84" s="41" t="s">
        <v>106</v>
      </c>
      <c r="Q84" s="41" t="s">
        <v>78</v>
      </c>
      <c r="R84" s="41" t="s">
        <v>116</v>
      </c>
      <c r="S84" s="41" t="s">
        <v>114</v>
      </c>
      <c r="T84" s="41" t="s">
        <v>64</v>
      </c>
      <c r="U84" s="41">
        <f t="shared" si="5"/>
        <v>1.2268433321064899E-8</v>
      </c>
    </row>
    <row r="85" spans="1:21" s="41" customFormat="1">
      <c r="A85" s="41">
        <v>2028</v>
      </c>
      <c r="B85" s="41" t="s">
        <v>114</v>
      </c>
      <c r="D85" s="41" t="s">
        <v>4</v>
      </c>
      <c r="E85" s="41" t="s">
        <v>102</v>
      </c>
      <c r="F85" s="41">
        <v>0.88</v>
      </c>
      <c r="G85" s="41" t="s">
        <v>103</v>
      </c>
      <c r="H85" s="41">
        <v>235</v>
      </c>
      <c r="I85" s="41" t="s">
        <v>104</v>
      </c>
      <c r="J85" s="41">
        <v>57</v>
      </c>
      <c r="K85" s="41" t="s">
        <v>59</v>
      </c>
      <c r="L85" s="41">
        <v>1</v>
      </c>
      <c r="M85" s="41" t="s">
        <v>117</v>
      </c>
      <c r="N85" s="41">
        <v>1.4E-2</v>
      </c>
      <c r="O85" s="41" t="s">
        <v>61</v>
      </c>
      <c r="P85" s="41" t="s">
        <v>106</v>
      </c>
      <c r="Q85" s="41" t="s">
        <v>78</v>
      </c>
      <c r="R85" s="41" t="s">
        <v>116</v>
      </c>
      <c r="S85" s="41" t="s">
        <v>114</v>
      </c>
      <c r="T85" s="41" t="s">
        <v>64</v>
      </c>
      <c r="U85" s="41">
        <f t="shared" si="5"/>
        <v>1.2268433321064899E-8</v>
      </c>
    </row>
    <row r="86" spans="1:21" s="41" customFormat="1">
      <c r="A86" s="41">
        <v>2029</v>
      </c>
      <c r="B86" s="41" t="s">
        <v>114</v>
      </c>
      <c r="D86" s="41" t="s">
        <v>4</v>
      </c>
      <c r="E86" s="41" t="s">
        <v>102</v>
      </c>
      <c r="F86" s="41">
        <v>0.88</v>
      </c>
      <c r="G86" s="41" t="s">
        <v>103</v>
      </c>
      <c r="H86" s="41">
        <v>235</v>
      </c>
      <c r="I86" s="41" t="s">
        <v>104</v>
      </c>
      <c r="J86" s="41">
        <v>56</v>
      </c>
      <c r="K86" s="41" t="s">
        <v>59</v>
      </c>
      <c r="L86" s="41">
        <v>1</v>
      </c>
      <c r="M86" s="41" t="s">
        <v>117</v>
      </c>
      <c r="N86" s="41">
        <v>1.4E-2</v>
      </c>
      <c r="O86" s="41" t="s">
        <v>61</v>
      </c>
      <c r="P86" s="41" t="s">
        <v>106</v>
      </c>
      <c r="Q86" s="41" t="s">
        <v>78</v>
      </c>
      <c r="R86" s="41" t="s">
        <v>116</v>
      </c>
      <c r="S86" s="41" t="s">
        <v>114</v>
      </c>
      <c r="T86" s="41" t="s">
        <v>64</v>
      </c>
      <c r="U86" s="41">
        <f t="shared" si="5"/>
        <v>1.2268433321064899E-8</v>
      </c>
    </row>
    <row r="87" spans="1:21" s="41" customFormat="1">
      <c r="A87" s="41">
        <v>2030</v>
      </c>
      <c r="B87" s="41" t="s">
        <v>114</v>
      </c>
      <c r="D87" s="41" t="s">
        <v>4</v>
      </c>
      <c r="E87" s="41" t="s">
        <v>102</v>
      </c>
      <c r="F87" s="41">
        <v>0.88</v>
      </c>
      <c r="G87" s="41" t="s">
        <v>103</v>
      </c>
      <c r="H87" s="41">
        <v>235</v>
      </c>
      <c r="I87" s="41" t="s">
        <v>104</v>
      </c>
      <c r="J87" s="41">
        <v>56</v>
      </c>
      <c r="K87" s="41" t="s">
        <v>59</v>
      </c>
      <c r="L87" s="41">
        <v>1</v>
      </c>
      <c r="M87" s="41" t="s">
        <v>117</v>
      </c>
      <c r="N87" s="41">
        <v>1.4E-2</v>
      </c>
      <c r="O87" s="41" t="s">
        <v>61</v>
      </c>
      <c r="P87" s="41" t="s">
        <v>106</v>
      </c>
      <c r="Q87" s="41" t="s">
        <v>78</v>
      </c>
      <c r="R87" s="41" t="s">
        <v>116</v>
      </c>
      <c r="S87" s="41" t="s">
        <v>114</v>
      </c>
      <c r="T87" s="41" t="s">
        <v>64</v>
      </c>
      <c r="U87" s="41">
        <f t="shared" si="5"/>
        <v>1.2268433321064899E-8</v>
      </c>
    </row>
    <row r="88" spans="1:21" s="41" customFormat="1">
      <c r="A88" s="41">
        <v>2031</v>
      </c>
      <c r="B88" s="41" t="s">
        <v>114</v>
      </c>
      <c r="D88" s="41" t="s">
        <v>4</v>
      </c>
      <c r="E88" s="41" t="s">
        <v>102</v>
      </c>
      <c r="F88" s="41">
        <v>0.88</v>
      </c>
      <c r="G88" s="41" t="s">
        <v>103</v>
      </c>
      <c r="H88" s="41">
        <v>235</v>
      </c>
      <c r="I88" s="41" t="s">
        <v>104</v>
      </c>
      <c r="J88" s="41">
        <v>55</v>
      </c>
      <c r="K88" s="41" t="s">
        <v>59</v>
      </c>
      <c r="L88" s="41">
        <v>1</v>
      </c>
      <c r="M88" s="41" t="s">
        <v>117</v>
      </c>
      <c r="N88" s="41">
        <v>1.4E-2</v>
      </c>
      <c r="O88" s="41" t="s">
        <v>61</v>
      </c>
      <c r="P88" s="41" t="s">
        <v>106</v>
      </c>
      <c r="Q88" s="41" t="s">
        <v>78</v>
      </c>
      <c r="R88" s="41" t="s">
        <v>116</v>
      </c>
      <c r="S88" s="41" t="s">
        <v>114</v>
      </c>
      <c r="T88" s="41" t="s">
        <v>64</v>
      </c>
      <c r="U88" s="41">
        <f t="shared" si="5"/>
        <v>1.2268433321064899E-8</v>
      </c>
    </row>
    <row r="89" spans="1:21" s="41" customFormat="1">
      <c r="A89" s="41">
        <v>2032</v>
      </c>
      <c r="B89" s="41" t="s">
        <v>114</v>
      </c>
      <c r="D89" s="41" t="s">
        <v>4</v>
      </c>
      <c r="E89" s="41" t="s">
        <v>102</v>
      </c>
      <c r="F89" s="41">
        <v>0.88</v>
      </c>
      <c r="G89" s="41" t="s">
        <v>103</v>
      </c>
      <c r="H89" s="41">
        <v>235</v>
      </c>
      <c r="I89" s="41" t="s">
        <v>104</v>
      </c>
      <c r="J89" s="41">
        <v>55</v>
      </c>
      <c r="K89" s="41" t="s">
        <v>59</v>
      </c>
      <c r="L89" s="41">
        <v>1</v>
      </c>
      <c r="M89" s="41" t="s">
        <v>117</v>
      </c>
      <c r="N89" s="41">
        <v>1.4E-2</v>
      </c>
      <c r="O89" s="41" t="s">
        <v>61</v>
      </c>
      <c r="P89" s="41" t="s">
        <v>106</v>
      </c>
      <c r="Q89" s="41" t="s">
        <v>78</v>
      </c>
      <c r="R89" s="41" t="s">
        <v>116</v>
      </c>
      <c r="S89" s="41" t="s">
        <v>114</v>
      </c>
      <c r="T89" s="41" t="s">
        <v>64</v>
      </c>
      <c r="U89" s="41">
        <f t="shared" si="5"/>
        <v>1.2268433321064899E-8</v>
      </c>
    </row>
    <row r="90" spans="1:21" s="41" customFormat="1">
      <c r="A90" s="41">
        <v>2033</v>
      </c>
      <c r="B90" s="41" t="s">
        <v>114</v>
      </c>
      <c r="D90" s="41" t="s">
        <v>4</v>
      </c>
      <c r="E90" s="41" t="s">
        <v>102</v>
      </c>
      <c r="F90" s="41">
        <v>0.88</v>
      </c>
      <c r="G90" s="41" t="s">
        <v>103</v>
      </c>
      <c r="H90" s="41">
        <v>235</v>
      </c>
      <c r="I90" s="41" t="s">
        <v>104</v>
      </c>
      <c r="J90" s="41">
        <v>55</v>
      </c>
      <c r="K90" s="41" t="s">
        <v>59</v>
      </c>
      <c r="L90" s="41">
        <v>1</v>
      </c>
      <c r="M90" s="41" t="s">
        <v>117</v>
      </c>
      <c r="N90" s="41">
        <v>1.4E-2</v>
      </c>
      <c r="O90" s="41" t="s">
        <v>61</v>
      </c>
      <c r="P90" s="41" t="s">
        <v>106</v>
      </c>
      <c r="Q90" s="41" t="s">
        <v>78</v>
      </c>
      <c r="R90" s="41" t="s">
        <v>116</v>
      </c>
      <c r="S90" s="41" t="s">
        <v>114</v>
      </c>
      <c r="T90" s="41" t="s">
        <v>64</v>
      </c>
      <c r="U90" s="41">
        <f t="shared" si="5"/>
        <v>1.2268433321064899E-8</v>
      </c>
    </row>
    <row r="91" spans="1:21" s="41" customFormat="1">
      <c r="A91" s="41">
        <v>2034</v>
      </c>
      <c r="B91" s="41" t="s">
        <v>114</v>
      </c>
      <c r="D91" s="41" t="s">
        <v>4</v>
      </c>
      <c r="E91" s="41" t="s">
        <v>102</v>
      </c>
      <c r="F91" s="41">
        <v>0.88</v>
      </c>
      <c r="G91" s="41" t="s">
        <v>103</v>
      </c>
      <c r="H91" s="41">
        <v>235</v>
      </c>
      <c r="I91" s="41" t="s">
        <v>104</v>
      </c>
      <c r="J91" s="41">
        <v>54</v>
      </c>
      <c r="K91" s="41" t="s">
        <v>59</v>
      </c>
      <c r="L91" s="41">
        <v>1</v>
      </c>
      <c r="M91" s="41" t="s">
        <v>117</v>
      </c>
      <c r="N91" s="41">
        <v>1.4E-2</v>
      </c>
      <c r="O91" s="41" t="s">
        <v>61</v>
      </c>
      <c r="P91" s="41" t="s">
        <v>106</v>
      </c>
      <c r="Q91" s="41" t="s">
        <v>78</v>
      </c>
      <c r="R91" s="41" t="s">
        <v>116</v>
      </c>
      <c r="S91" s="41" t="s">
        <v>114</v>
      </c>
      <c r="T91" s="41" t="s">
        <v>64</v>
      </c>
      <c r="U91" s="41">
        <f t="shared" si="5"/>
        <v>1.2268433321064899E-8</v>
      </c>
    </row>
    <row r="92" spans="1:21" s="41" customFormat="1">
      <c r="A92" s="41">
        <v>2035</v>
      </c>
      <c r="B92" s="41" t="s">
        <v>114</v>
      </c>
      <c r="D92" s="41" t="s">
        <v>4</v>
      </c>
      <c r="E92" s="41" t="s">
        <v>102</v>
      </c>
      <c r="F92" s="41">
        <v>0.88</v>
      </c>
      <c r="G92" s="41" t="s">
        <v>103</v>
      </c>
      <c r="H92" s="41">
        <v>235</v>
      </c>
      <c r="I92" s="41" t="s">
        <v>104</v>
      </c>
      <c r="J92" s="41">
        <v>54</v>
      </c>
      <c r="K92" s="41" t="s">
        <v>59</v>
      </c>
      <c r="L92" s="41">
        <v>1</v>
      </c>
      <c r="M92" s="41" t="s">
        <v>117</v>
      </c>
      <c r="N92" s="41">
        <v>1.4E-2</v>
      </c>
      <c r="O92" s="41" t="s">
        <v>61</v>
      </c>
      <c r="P92" s="41" t="s">
        <v>106</v>
      </c>
      <c r="Q92" s="41" t="s">
        <v>78</v>
      </c>
      <c r="R92" s="41" t="s">
        <v>116</v>
      </c>
      <c r="S92" s="41" t="s">
        <v>114</v>
      </c>
      <c r="T92" s="41" t="s">
        <v>64</v>
      </c>
      <c r="U92" s="41">
        <f t="shared" si="5"/>
        <v>1.2268433321064899E-8</v>
      </c>
    </row>
    <row r="93" spans="1:21" s="41" customFormat="1">
      <c r="A93" s="41">
        <v>2036</v>
      </c>
      <c r="B93" s="41" t="s">
        <v>114</v>
      </c>
      <c r="D93" s="41" t="s">
        <v>4</v>
      </c>
      <c r="E93" s="41" t="s">
        <v>102</v>
      </c>
      <c r="F93" s="41">
        <v>0.88</v>
      </c>
      <c r="G93" s="41" t="s">
        <v>103</v>
      </c>
      <c r="H93" s="41">
        <v>235</v>
      </c>
      <c r="I93" s="41" t="s">
        <v>104</v>
      </c>
      <c r="J93" s="41">
        <v>54</v>
      </c>
      <c r="K93" s="41" t="s">
        <v>59</v>
      </c>
      <c r="L93" s="41">
        <v>1</v>
      </c>
      <c r="M93" s="41" t="s">
        <v>117</v>
      </c>
      <c r="N93" s="41">
        <v>1.4E-2</v>
      </c>
      <c r="O93" s="41" t="s">
        <v>61</v>
      </c>
      <c r="P93" s="41" t="s">
        <v>106</v>
      </c>
      <c r="Q93" s="41" t="s">
        <v>78</v>
      </c>
      <c r="R93" s="41" t="s">
        <v>116</v>
      </c>
      <c r="S93" s="41" t="s">
        <v>114</v>
      </c>
      <c r="T93" s="41" t="s">
        <v>64</v>
      </c>
      <c r="U93" s="41">
        <f t="shared" si="5"/>
        <v>1.2268433321064899E-8</v>
      </c>
    </row>
    <row r="94" spans="1:21" s="41" customFormat="1">
      <c r="A94" s="41">
        <v>2037</v>
      </c>
      <c r="B94" s="41" t="s">
        <v>114</v>
      </c>
      <c r="D94" s="41" t="s">
        <v>4</v>
      </c>
      <c r="E94" s="41" t="s">
        <v>102</v>
      </c>
      <c r="F94" s="41">
        <v>0.88</v>
      </c>
      <c r="G94" s="41" t="s">
        <v>103</v>
      </c>
      <c r="H94" s="41">
        <v>235</v>
      </c>
      <c r="I94" s="41" t="s">
        <v>104</v>
      </c>
      <c r="J94" s="41">
        <v>54</v>
      </c>
      <c r="K94" s="41" t="s">
        <v>59</v>
      </c>
      <c r="L94" s="41">
        <v>1</v>
      </c>
      <c r="M94" s="41" t="s">
        <v>117</v>
      </c>
      <c r="N94" s="41">
        <v>1.4E-2</v>
      </c>
      <c r="O94" s="41" t="s">
        <v>61</v>
      </c>
      <c r="P94" s="41" t="s">
        <v>106</v>
      </c>
      <c r="Q94" s="41" t="s">
        <v>78</v>
      </c>
      <c r="R94" s="41" t="s">
        <v>116</v>
      </c>
      <c r="S94" s="41" t="s">
        <v>114</v>
      </c>
      <c r="T94" s="41" t="s">
        <v>64</v>
      </c>
      <c r="U94" s="41">
        <f t="shared" si="5"/>
        <v>1.2268433321064899E-8</v>
      </c>
    </row>
    <row r="95" spans="1:21" s="41" customFormat="1">
      <c r="A95" s="41">
        <v>2038</v>
      </c>
      <c r="B95" s="41" t="s">
        <v>114</v>
      </c>
      <c r="D95" s="41" t="s">
        <v>4</v>
      </c>
      <c r="E95" s="41" t="s">
        <v>102</v>
      </c>
      <c r="F95" s="41">
        <v>0.88</v>
      </c>
      <c r="G95" s="41" t="s">
        <v>103</v>
      </c>
      <c r="H95" s="41">
        <v>235</v>
      </c>
      <c r="I95" s="41" t="s">
        <v>104</v>
      </c>
      <c r="J95" s="41">
        <v>53</v>
      </c>
      <c r="K95" s="41" t="s">
        <v>59</v>
      </c>
      <c r="L95" s="41">
        <v>1</v>
      </c>
      <c r="M95" s="41" t="s">
        <v>117</v>
      </c>
      <c r="N95" s="41">
        <v>1.4E-2</v>
      </c>
      <c r="O95" s="41" t="s">
        <v>61</v>
      </c>
      <c r="P95" s="41" t="s">
        <v>106</v>
      </c>
      <c r="Q95" s="41" t="s">
        <v>78</v>
      </c>
      <c r="R95" s="41" t="s">
        <v>116</v>
      </c>
      <c r="S95" s="41" t="s">
        <v>114</v>
      </c>
      <c r="T95" s="41" t="s">
        <v>64</v>
      </c>
      <c r="U95" s="41">
        <f t="shared" si="5"/>
        <v>1.2268433321064899E-8</v>
      </c>
    </row>
    <row r="96" spans="1:21" s="41" customFormat="1">
      <c r="A96" s="41">
        <v>2039</v>
      </c>
      <c r="B96" s="41" t="s">
        <v>114</v>
      </c>
      <c r="D96" s="41" t="s">
        <v>4</v>
      </c>
      <c r="E96" s="41" t="s">
        <v>102</v>
      </c>
      <c r="F96" s="41">
        <v>0.88</v>
      </c>
      <c r="G96" s="41" t="s">
        <v>103</v>
      </c>
      <c r="H96" s="41">
        <v>235</v>
      </c>
      <c r="I96" s="41" t="s">
        <v>104</v>
      </c>
      <c r="J96" s="41">
        <v>53</v>
      </c>
      <c r="K96" s="41" t="s">
        <v>59</v>
      </c>
      <c r="L96" s="41">
        <v>1</v>
      </c>
      <c r="M96" s="41" t="s">
        <v>117</v>
      </c>
      <c r="N96" s="41">
        <v>1.4E-2</v>
      </c>
      <c r="O96" s="41" t="s">
        <v>61</v>
      </c>
      <c r="P96" s="41" t="s">
        <v>106</v>
      </c>
      <c r="Q96" s="41" t="s">
        <v>78</v>
      </c>
      <c r="R96" s="41" t="s">
        <v>116</v>
      </c>
      <c r="S96" s="41" t="s">
        <v>114</v>
      </c>
      <c r="T96" s="41" t="s">
        <v>64</v>
      </c>
      <c r="U96" s="41">
        <f t="shared" si="5"/>
        <v>1.2268433321064899E-8</v>
      </c>
    </row>
    <row r="97" spans="1:21" s="41" customFormat="1">
      <c r="A97" s="41">
        <v>2040</v>
      </c>
      <c r="B97" s="41" t="s">
        <v>114</v>
      </c>
      <c r="D97" s="41" t="s">
        <v>4</v>
      </c>
      <c r="E97" s="41" t="s">
        <v>102</v>
      </c>
      <c r="F97" s="41">
        <v>0.88</v>
      </c>
      <c r="G97" s="41" t="s">
        <v>103</v>
      </c>
      <c r="H97" s="41">
        <v>235</v>
      </c>
      <c r="I97" s="41" t="s">
        <v>104</v>
      </c>
      <c r="J97" s="41">
        <v>53</v>
      </c>
      <c r="K97" s="41" t="s">
        <v>59</v>
      </c>
      <c r="L97" s="41">
        <v>1</v>
      </c>
      <c r="M97" s="41" t="s">
        <v>117</v>
      </c>
      <c r="N97" s="41">
        <v>1.4E-2</v>
      </c>
      <c r="O97" s="41" t="s">
        <v>61</v>
      </c>
      <c r="P97" s="41" t="s">
        <v>106</v>
      </c>
      <c r="Q97" s="41" t="s">
        <v>78</v>
      </c>
      <c r="R97" s="41" t="s">
        <v>116</v>
      </c>
      <c r="S97" s="41" t="s">
        <v>114</v>
      </c>
      <c r="T97" s="41" t="s">
        <v>64</v>
      </c>
      <c r="U97" s="41">
        <f t="shared" si="5"/>
        <v>1.2268433321064899E-8</v>
      </c>
    </row>
    <row r="98" spans="1:21" s="41" customFormat="1">
      <c r="A98" s="41">
        <v>2041</v>
      </c>
      <c r="B98" s="41" t="s">
        <v>114</v>
      </c>
      <c r="D98" s="41" t="s">
        <v>4</v>
      </c>
      <c r="E98" s="41" t="s">
        <v>102</v>
      </c>
      <c r="F98" s="41">
        <v>0.88</v>
      </c>
      <c r="G98" s="41" t="s">
        <v>103</v>
      </c>
      <c r="H98" s="41">
        <v>235</v>
      </c>
      <c r="I98" s="41" t="s">
        <v>104</v>
      </c>
      <c r="J98" s="41">
        <v>53</v>
      </c>
      <c r="K98" s="41" t="s">
        <v>59</v>
      </c>
      <c r="L98" s="41">
        <v>1</v>
      </c>
      <c r="M98" s="41" t="s">
        <v>117</v>
      </c>
      <c r="N98" s="41">
        <v>1.4E-2</v>
      </c>
      <c r="O98" s="41" t="s">
        <v>61</v>
      </c>
      <c r="P98" s="41" t="s">
        <v>106</v>
      </c>
      <c r="Q98" s="41" t="s">
        <v>78</v>
      </c>
      <c r="R98" s="41" t="s">
        <v>116</v>
      </c>
      <c r="S98" s="41" t="s">
        <v>114</v>
      </c>
      <c r="T98" s="41" t="s">
        <v>64</v>
      </c>
      <c r="U98" s="41">
        <f t="shared" si="5"/>
        <v>1.2268433321064899E-8</v>
      </c>
    </row>
    <row r="99" spans="1:21" s="41" customFormat="1">
      <c r="A99" s="41">
        <v>2042</v>
      </c>
      <c r="B99" s="41" t="s">
        <v>114</v>
      </c>
      <c r="D99" s="41" t="s">
        <v>4</v>
      </c>
      <c r="E99" s="41" t="s">
        <v>102</v>
      </c>
      <c r="F99" s="41">
        <v>0.88</v>
      </c>
      <c r="G99" s="41" t="s">
        <v>103</v>
      </c>
      <c r="H99" s="41">
        <v>235</v>
      </c>
      <c r="I99" s="41" t="s">
        <v>104</v>
      </c>
      <c r="J99" s="41">
        <v>52</v>
      </c>
      <c r="K99" s="41" t="s">
        <v>59</v>
      </c>
      <c r="L99" s="41">
        <v>1</v>
      </c>
      <c r="M99" s="41" t="s">
        <v>117</v>
      </c>
      <c r="N99" s="41">
        <v>1.4E-2</v>
      </c>
      <c r="O99" s="41" t="s">
        <v>61</v>
      </c>
      <c r="P99" s="41" t="s">
        <v>106</v>
      </c>
      <c r="Q99" s="41" t="s">
        <v>78</v>
      </c>
      <c r="R99" s="41" t="s">
        <v>116</v>
      </c>
      <c r="S99" s="41" t="s">
        <v>114</v>
      </c>
      <c r="T99" s="41" t="s">
        <v>64</v>
      </c>
      <c r="U99" s="41">
        <f t="shared" si="5"/>
        <v>1.2268433321064899E-8</v>
      </c>
    </row>
    <row r="100" spans="1:21" s="41" customFormat="1">
      <c r="A100" s="41">
        <v>2024</v>
      </c>
      <c r="B100" s="41" t="s">
        <v>114</v>
      </c>
      <c r="C100" s="41" t="s">
        <v>109</v>
      </c>
      <c r="D100" s="41" t="s">
        <v>4</v>
      </c>
      <c r="E100" s="41" t="s">
        <v>110</v>
      </c>
      <c r="F100" s="41">
        <v>1001</v>
      </c>
      <c r="G100" s="41" t="s">
        <v>103</v>
      </c>
      <c r="H100" s="41">
        <v>235</v>
      </c>
      <c r="I100" s="41" t="s">
        <v>104</v>
      </c>
      <c r="J100" s="41">
        <v>35</v>
      </c>
      <c r="K100" s="41" t="s">
        <v>59</v>
      </c>
      <c r="L100" s="41">
        <v>1</v>
      </c>
      <c r="M100" s="41" t="s">
        <v>118</v>
      </c>
      <c r="N100" s="44">
        <v>1.6639999999999999E-2</v>
      </c>
      <c r="O100" s="41" t="s">
        <v>61</v>
      </c>
      <c r="P100" s="41" t="s">
        <v>106</v>
      </c>
      <c r="Q100" s="41" t="s">
        <v>78</v>
      </c>
      <c r="R100" s="41" t="s">
        <v>116</v>
      </c>
      <c r="S100" s="41" t="s">
        <v>114</v>
      </c>
      <c r="T100" s="41" t="s">
        <v>64</v>
      </c>
      <c r="U100" s="41">
        <f>1/81.51/1000000</f>
        <v>1.2268433321064899E-8</v>
      </c>
    </row>
    <row r="101" spans="1:21" s="41" customFormat="1">
      <c r="A101" s="41">
        <v>2025</v>
      </c>
      <c r="B101" s="41" t="s">
        <v>114</v>
      </c>
      <c r="C101" s="41" t="s">
        <v>109</v>
      </c>
      <c r="D101" s="41" t="s">
        <v>4</v>
      </c>
      <c r="E101" s="41" t="s">
        <v>110</v>
      </c>
      <c r="F101" s="41">
        <v>1.3</v>
      </c>
      <c r="G101" s="41" t="s">
        <v>103</v>
      </c>
      <c r="H101" s="41">
        <v>235</v>
      </c>
      <c r="I101" s="41" t="s">
        <v>104</v>
      </c>
      <c r="J101" s="41">
        <v>35</v>
      </c>
      <c r="K101" s="41" t="s">
        <v>59</v>
      </c>
      <c r="L101" s="41">
        <v>1</v>
      </c>
      <c r="M101" s="41" t="s">
        <v>118</v>
      </c>
      <c r="N101" s="44">
        <v>1.6639999999999999E-2</v>
      </c>
      <c r="O101" s="41" t="s">
        <v>61</v>
      </c>
      <c r="P101" s="41" t="s">
        <v>106</v>
      </c>
      <c r="Q101" s="41" t="s">
        <v>78</v>
      </c>
      <c r="R101" s="41" t="s">
        <v>116</v>
      </c>
      <c r="S101" s="41" t="s">
        <v>114</v>
      </c>
      <c r="T101" s="41" t="s">
        <v>64</v>
      </c>
      <c r="U101" s="41">
        <f>1/81.51/1000000</f>
        <v>1.2268433321064899E-8</v>
      </c>
    </row>
    <row r="102" spans="1:21" s="41" customFormat="1">
      <c r="A102" s="41">
        <v>2022</v>
      </c>
      <c r="B102" s="41" t="s">
        <v>119</v>
      </c>
      <c r="D102" s="41" t="s">
        <v>15</v>
      </c>
      <c r="E102" s="41" t="s">
        <v>15</v>
      </c>
      <c r="F102" s="41">
        <v>1001</v>
      </c>
      <c r="G102" s="41" t="s">
        <v>48</v>
      </c>
      <c r="H102" s="41">
        <v>1</v>
      </c>
      <c r="I102" s="41" t="s">
        <v>49</v>
      </c>
      <c r="J102" s="41">
        <f>-1000000</f>
        <v>-1000000</v>
      </c>
      <c r="K102" s="41" t="s">
        <v>50</v>
      </c>
      <c r="L102" s="41">
        <v>1</v>
      </c>
      <c r="M102" s="41" t="s">
        <v>51</v>
      </c>
      <c r="P102" s="41" t="s">
        <v>119</v>
      </c>
      <c r="Q102" s="41" t="s">
        <v>53</v>
      </c>
      <c r="S102" s="41" t="s">
        <v>113</v>
      </c>
      <c r="T102" s="41" t="s">
        <v>54</v>
      </c>
      <c r="U102" s="41">
        <f>1/1000000</f>
        <v>9.9999999999999995E-7</v>
      </c>
    </row>
    <row r="103" spans="1:21" s="41" customFormat="1">
      <c r="A103" s="41">
        <v>2022</v>
      </c>
      <c r="B103" s="41" t="s">
        <v>120</v>
      </c>
      <c r="D103" s="46" t="s">
        <v>15</v>
      </c>
      <c r="E103" s="41" t="s">
        <v>15</v>
      </c>
      <c r="F103" s="41">
        <v>1001</v>
      </c>
      <c r="G103" s="41" t="s">
        <v>48</v>
      </c>
      <c r="H103" s="41">
        <v>1</v>
      </c>
      <c r="I103" s="41" t="s">
        <v>49</v>
      </c>
      <c r="J103" s="41">
        <f>-1000000</f>
        <v>-1000000</v>
      </c>
      <c r="K103" s="41" t="s">
        <v>50</v>
      </c>
      <c r="L103" s="41">
        <v>1</v>
      </c>
      <c r="M103" s="41" t="s">
        <v>51</v>
      </c>
      <c r="P103" s="41" t="s">
        <v>120</v>
      </c>
      <c r="Q103" s="41" t="s">
        <v>53</v>
      </c>
      <c r="S103" s="41" t="s">
        <v>120</v>
      </c>
      <c r="T103" s="41" t="s">
        <v>54</v>
      </c>
      <c r="U103" s="41">
        <f>1/1000000</f>
        <v>9.9999999999999995E-7</v>
      </c>
    </row>
    <row r="104" spans="1:21" s="41" customFormat="1">
      <c r="A104" s="41">
        <v>2022</v>
      </c>
      <c r="B104" s="41" t="s">
        <v>121</v>
      </c>
      <c r="D104" s="46" t="s">
        <v>15</v>
      </c>
      <c r="E104" s="41" t="s">
        <v>15</v>
      </c>
      <c r="F104" s="41">
        <v>1001</v>
      </c>
      <c r="G104" s="41" t="s">
        <v>48</v>
      </c>
      <c r="H104" s="41">
        <v>1</v>
      </c>
      <c r="I104" s="41" t="s">
        <v>49</v>
      </c>
      <c r="J104" s="41">
        <f>-1000000</f>
        <v>-1000000</v>
      </c>
      <c r="K104" s="41" t="s">
        <v>50</v>
      </c>
      <c r="L104" s="41">
        <v>1</v>
      </c>
      <c r="M104" s="41" t="s">
        <v>51</v>
      </c>
      <c r="P104" s="41" t="s">
        <v>121</v>
      </c>
      <c r="Q104" s="41" t="s">
        <v>53</v>
      </c>
      <c r="S104" s="41" t="s">
        <v>121</v>
      </c>
      <c r="T104" s="41" t="s">
        <v>54</v>
      </c>
      <c r="U104" s="41">
        <f>1/1000000</f>
        <v>9.9999999999999995E-7</v>
      </c>
    </row>
    <row r="105" spans="1:21" s="41" customFormat="1">
      <c r="A105" s="41">
        <v>2022</v>
      </c>
      <c r="B105" s="41" t="s">
        <v>122</v>
      </c>
      <c r="C105" s="41" t="s">
        <v>123</v>
      </c>
      <c r="D105" s="41" t="s">
        <v>11</v>
      </c>
      <c r="E105" s="41" t="s">
        <v>124</v>
      </c>
      <c r="F105" s="41">
        <v>51.2</v>
      </c>
      <c r="G105" s="41" t="s">
        <v>81</v>
      </c>
      <c r="H105" s="41">
        <v>865.1</v>
      </c>
      <c r="I105" s="41" t="s">
        <v>82</v>
      </c>
      <c r="J105" s="41">
        <v>99</v>
      </c>
      <c r="K105" s="41" t="s">
        <v>59</v>
      </c>
      <c r="L105" s="41">
        <v>1.9</v>
      </c>
      <c r="M105" s="41" t="s">
        <v>125</v>
      </c>
      <c r="N105" s="47">
        <v>8.3300000000000006E-3</v>
      </c>
      <c r="O105" s="41" t="s">
        <v>61</v>
      </c>
      <c r="P105" s="41" t="s">
        <v>126</v>
      </c>
      <c r="Q105" s="41" t="s">
        <v>70</v>
      </c>
      <c r="S105" s="41" t="s">
        <v>127</v>
      </c>
      <c r="T105" s="41" t="s">
        <v>128</v>
      </c>
      <c r="U105" s="41">
        <f t="shared" ref="U105:U108" si="6">1/120/1000000</f>
        <v>8.3333333333333335E-9</v>
      </c>
    </row>
    <row r="106" spans="1:21" s="41" customFormat="1">
      <c r="A106" s="41">
        <v>2022</v>
      </c>
      <c r="B106" s="41" t="s">
        <v>122</v>
      </c>
      <c r="C106" s="41" t="s">
        <v>129</v>
      </c>
      <c r="D106" s="41" t="s">
        <v>11</v>
      </c>
      <c r="E106" s="41" t="s">
        <v>130</v>
      </c>
      <c r="F106" s="41">
        <v>86</v>
      </c>
      <c r="G106" s="41" t="s">
        <v>131</v>
      </c>
      <c r="H106" s="41">
        <v>2066.4</v>
      </c>
      <c r="I106" s="41" t="s">
        <v>132</v>
      </c>
      <c r="J106" s="41">
        <v>164.46</v>
      </c>
      <c r="K106" s="41" t="s">
        <v>59</v>
      </c>
      <c r="L106" s="41">
        <v>1.9</v>
      </c>
      <c r="P106" s="41" t="s">
        <v>133</v>
      </c>
      <c r="Q106" s="41" t="s">
        <v>70</v>
      </c>
      <c r="S106" s="41" t="s">
        <v>134</v>
      </c>
      <c r="T106" s="41" t="s">
        <v>128</v>
      </c>
      <c r="U106" s="41">
        <f t="shared" si="6"/>
        <v>8.3333333333333335E-9</v>
      </c>
    </row>
    <row r="107" spans="1:21" s="41" customFormat="1">
      <c r="A107" s="41">
        <v>2022</v>
      </c>
      <c r="B107" s="41" t="s">
        <v>135</v>
      </c>
      <c r="C107" s="41" t="s">
        <v>129</v>
      </c>
      <c r="D107" s="41" t="s">
        <v>11</v>
      </c>
      <c r="E107" s="41" t="s">
        <v>130</v>
      </c>
      <c r="F107" s="41">
        <v>137</v>
      </c>
      <c r="G107" s="41" t="s">
        <v>131</v>
      </c>
      <c r="H107" s="41">
        <v>2066.4</v>
      </c>
      <c r="I107" s="41" t="s">
        <v>132</v>
      </c>
      <c r="J107" s="41">
        <v>10.51</v>
      </c>
      <c r="K107" s="41" t="s">
        <v>59</v>
      </c>
      <c r="L107" s="41">
        <v>1.9</v>
      </c>
      <c r="M107" s="41" t="s">
        <v>125</v>
      </c>
      <c r="N107" s="41">
        <v>2.5000000000000001E-2</v>
      </c>
      <c r="O107" s="41" t="s">
        <v>61</v>
      </c>
      <c r="P107" s="41" t="s">
        <v>136</v>
      </c>
      <c r="Q107" s="41" t="s">
        <v>70</v>
      </c>
      <c r="S107" s="41" t="s">
        <v>137</v>
      </c>
      <c r="T107" s="41" t="s">
        <v>128</v>
      </c>
      <c r="U107" s="41">
        <f t="shared" si="6"/>
        <v>8.3333333333333335E-9</v>
      </c>
    </row>
    <row r="108" spans="1:21" s="41" customFormat="1">
      <c r="A108" s="41">
        <v>2045</v>
      </c>
      <c r="B108" s="41" t="s">
        <v>138</v>
      </c>
      <c r="C108" s="41" t="s">
        <v>123</v>
      </c>
      <c r="D108" s="41" t="s">
        <v>11</v>
      </c>
      <c r="E108" s="41" t="s">
        <v>87</v>
      </c>
      <c r="F108" s="41">
        <v>51.2</v>
      </c>
      <c r="G108" s="41" t="s">
        <v>81</v>
      </c>
      <c r="H108" s="41">
        <v>865.1</v>
      </c>
      <c r="I108" s="41" t="s">
        <v>82</v>
      </c>
      <c r="J108" s="41">
        <v>-353</v>
      </c>
      <c r="K108" s="41" t="s">
        <v>59</v>
      </c>
      <c r="L108" s="41">
        <v>1.9</v>
      </c>
      <c r="M108" s="41" t="s">
        <v>125</v>
      </c>
      <c r="N108" s="47">
        <v>2.5000000000000001E-2</v>
      </c>
      <c r="O108" s="41" t="s">
        <v>61</v>
      </c>
      <c r="P108" s="41" t="s">
        <v>139</v>
      </c>
      <c r="Q108" s="41" t="s">
        <v>70</v>
      </c>
      <c r="S108" s="41" t="s">
        <v>140</v>
      </c>
      <c r="T108" s="41" t="s">
        <v>128</v>
      </c>
      <c r="U108" s="41">
        <f t="shared" si="6"/>
        <v>8.3333333333333335E-9</v>
      </c>
    </row>
    <row r="109" spans="1:21" s="41" customFormat="1">
      <c r="A109" s="41">
        <v>2045</v>
      </c>
      <c r="B109" s="41" t="s">
        <v>138</v>
      </c>
      <c r="C109" s="41" t="s">
        <v>123</v>
      </c>
      <c r="D109" s="41" t="s">
        <v>11</v>
      </c>
      <c r="E109" s="41" t="s">
        <v>90</v>
      </c>
      <c r="F109" s="41">
        <v>51.2</v>
      </c>
      <c r="G109" s="41" t="s">
        <v>81</v>
      </c>
      <c r="H109" s="41">
        <v>865.1</v>
      </c>
      <c r="I109" s="41" t="s">
        <v>82</v>
      </c>
      <c r="J109" s="41">
        <v>-353</v>
      </c>
      <c r="K109" s="41" t="s">
        <v>59</v>
      </c>
      <c r="L109" s="41">
        <v>1.9</v>
      </c>
      <c r="M109" s="41" t="s">
        <v>125</v>
      </c>
      <c r="N109" s="47">
        <v>2.5000000000000001E-2</v>
      </c>
      <c r="O109" s="41" t="s">
        <v>61</v>
      </c>
      <c r="P109" s="41" t="s">
        <v>139</v>
      </c>
      <c r="Q109" s="41" t="s">
        <v>70</v>
      </c>
      <c r="S109" s="41" t="s">
        <v>140</v>
      </c>
      <c r="T109" s="41" t="s">
        <v>128</v>
      </c>
      <c r="U109" s="41">
        <f t="shared" ref="U109" si="7">1/120/1000000</f>
        <v>8.3333333333333335E-9</v>
      </c>
    </row>
    <row r="110" spans="1:21" s="41" customFormat="1">
      <c r="A110" s="41">
        <v>2022</v>
      </c>
      <c r="B110" s="41" t="s">
        <v>141</v>
      </c>
      <c r="D110" s="41" t="s">
        <v>9</v>
      </c>
      <c r="E110" s="41" t="s">
        <v>130</v>
      </c>
      <c r="F110" s="41">
        <v>18</v>
      </c>
      <c r="G110" s="41" t="s">
        <v>131</v>
      </c>
      <c r="H110" s="41">
        <v>3600</v>
      </c>
      <c r="I110" s="41" t="s">
        <v>132</v>
      </c>
      <c r="J110" s="41">
        <v>0</v>
      </c>
      <c r="K110" s="41" t="s">
        <v>59</v>
      </c>
      <c r="L110" s="41">
        <v>5</v>
      </c>
      <c r="M110" s="41" t="s">
        <v>142</v>
      </c>
      <c r="N110" s="41">
        <v>5.0000000000000001E-3</v>
      </c>
      <c r="O110" s="41" t="s">
        <v>61</v>
      </c>
      <c r="P110" s="41" t="s">
        <v>130</v>
      </c>
      <c r="Q110" s="41" t="s">
        <v>70</v>
      </c>
      <c r="S110" s="41" t="s">
        <v>143</v>
      </c>
      <c r="T110" s="41" t="s">
        <v>144</v>
      </c>
      <c r="U110" s="41">
        <f>1/3.6/1000000</f>
        <v>2.7777777777777781E-7</v>
      </c>
    </row>
    <row r="111" spans="1:21" s="41" customFormat="1">
      <c r="A111" s="41">
        <v>2040</v>
      </c>
      <c r="B111" s="41" t="s">
        <v>145</v>
      </c>
      <c r="D111" s="41" t="s">
        <v>9</v>
      </c>
      <c r="E111" s="41" t="s">
        <v>146</v>
      </c>
      <c r="F111" s="41">
        <v>0</v>
      </c>
      <c r="G111" s="41" t="s">
        <v>81</v>
      </c>
      <c r="H111" s="41">
        <v>601.34999999999991</v>
      </c>
      <c r="I111" s="41" t="s">
        <v>82</v>
      </c>
      <c r="J111" s="41">
        <v>-440</v>
      </c>
      <c r="K111" s="41" t="s">
        <v>59</v>
      </c>
      <c r="L111" s="41">
        <v>5</v>
      </c>
      <c r="P111" s="41" t="s">
        <v>147</v>
      </c>
      <c r="Q111" s="41" t="s">
        <v>70</v>
      </c>
      <c r="S111" s="41" t="s">
        <v>148</v>
      </c>
      <c r="T111" s="41" t="s">
        <v>144</v>
      </c>
      <c r="U111" s="41">
        <f>1/3.6/1000000</f>
        <v>2.7777777777777781E-7</v>
      </c>
    </row>
    <row r="112" spans="1:21" s="41" customFormat="1">
      <c r="A112" s="41">
        <v>2040</v>
      </c>
      <c r="B112" s="41" t="s">
        <v>145</v>
      </c>
      <c r="D112" s="41" t="s">
        <v>9</v>
      </c>
      <c r="E112" s="41" t="s">
        <v>149</v>
      </c>
      <c r="F112" s="41">
        <v>0</v>
      </c>
      <c r="G112" s="41" t="s">
        <v>81</v>
      </c>
      <c r="H112" s="41">
        <v>601.34999999999991</v>
      </c>
      <c r="I112" s="41" t="s">
        <v>82</v>
      </c>
      <c r="J112" s="41">
        <v>-440</v>
      </c>
      <c r="K112" s="41" t="s">
        <v>59</v>
      </c>
      <c r="L112" s="41">
        <v>5</v>
      </c>
      <c r="P112" s="41" t="s">
        <v>147</v>
      </c>
      <c r="Q112" s="41" t="s">
        <v>70</v>
      </c>
      <c r="S112" s="41" t="s">
        <v>148</v>
      </c>
      <c r="T112" s="41" t="s">
        <v>144</v>
      </c>
      <c r="U112" s="41">
        <f t="shared" ref="U112" si="8">1/3.6/1000000</f>
        <v>2.7777777777777781E-7</v>
      </c>
    </row>
    <row r="113" spans="1:21" s="41" customFormat="1">
      <c r="A113" s="41">
        <v>2022</v>
      </c>
      <c r="B113" s="41" t="s">
        <v>150</v>
      </c>
      <c r="D113" s="41" t="s">
        <v>9</v>
      </c>
      <c r="E113" s="41" t="s">
        <v>130</v>
      </c>
      <c r="F113" s="41">
        <v>0</v>
      </c>
      <c r="G113" s="41" t="s">
        <v>131</v>
      </c>
      <c r="H113" s="41">
        <v>3600</v>
      </c>
      <c r="I113" s="41" t="s">
        <v>132</v>
      </c>
      <c r="J113" s="41">
        <v>76.73</v>
      </c>
      <c r="K113" s="41" t="s">
        <v>59</v>
      </c>
      <c r="L113" s="41">
        <v>5</v>
      </c>
      <c r="P113" s="41" t="s">
        <v>130</v>
      </c>
      <c r="Q113" s="41" t="s">
        <v>70</v>
      </c>
      <c r="S113" s="41" t="s">
        <v>143</v>
      </c>
      <c r="T113" s="41" t="s">
        <v>144</v>
      </c>
      <c r="U113" s="41">
        <f>1/3.6/1000000</f>
        <v>2.7777777777777781E-7</v>
      </c>
    </row>
    <row r="114" spans="1:21" s="41" customFormat="1">
      <c r="A114" s="41">
        <v>2023</v>
      </c>
      <c r="B114" s="41" t="s">
        <v>150</v>
      </c>
      <c r="D114" s="41" t="s">
        <v>9</v>
      </c>
      <c r="E114" s="41" t="s">
        <v>130</v>
      </c>
      <c r="F114" s="41">
        <v>0</v>
      </c>
      <c r="G114" s="41" t="s">
        <v>131</v>
      </c>
      <c r="H114" s="41">
        <v>3600</v>
      </c>
      <c r="I114" s="41" t="s">
        <v>132</v>
      </c>
      <c r="J114" s="48">
        <v>81</v>
      </c>
      <c r="K114" s="41" t="s">
        <v>59</v>
      </c>
      <c r="L114" s="41">
        <v>5</v>
      </c>
      <c r="P114" s="41" t="s">
        <v>130</v>
      </c>
      <c r="Q114" s="41" t="s">
        <v>70</v>
      </c>
      <c r="S114" s="41" t="s">
        <v>143</v>
      </c>
      <c r="T114" s="41" t="s">
        <v>144</v>
      </c>
      <c r="U114" s="41">
        <f t="shared" ref="U114:U136" si="9">1/3.6/1000000</f>
        <v>2.7777777777777781E-7</v>
      </c>
    </row>
    <row r="115" spans="1:21" s="41" customFormat="1">
      <c r="A115" s="41">
        <v>2024</v>
      </c>
      <c r="B115" s="41" t="s">
        <v>150</v>
      </c>
      <c r="D115" s="41" t="s">
        <v>9</v>
      </c>
      <c r="E115" s="41" t="s">
        <v>130</v>
      </c>
      <c r="F115" s="41">
        <v>0</v>
      </c>
      <c r="G115" s="41" t="s">
        <v>131</v>
      </c>
      <c r="H115" s="41">
        <v>3600</v>
      </c>
      <c r="I115" s="41" t="s">
        <v>132</v>
      </c>
      <c r="J115" s="48">
        <v>84.7</v>
      </c>
      <c r="K115" s="41" t="s">
        <v>59</v>
      </c>
      <c r="L115" s="41">
        <v>5</v>
      </c>
      <c r="P115" s="41" t="s">
        <v>130</v>
      </c>
      <c r="Q115" s="41" t="s">
        <v>70</v>
      </c>
      <c r="S115" s="41" t="s">
        <v>143</v>
      </c>
      <c r="T115" s="41" t="s">
        <v>144</v>
      </c>
      <c r="U115" s="41">
        <f t="shared" si="9"/>
        <v>2.7777777777777781E-7</v>
      </c>
    </row>
    <row r="116" spans="1:21" s="41" customFormat="1">
      <c r="A116" s="41">
        <v>2025</v>
      </c>
      <c r="B116" s="41" t="s">
        <v>150</v>
      </c>
      <c r="D116" s="41" t="s">
        <v>9</v>
      </c>
      <c r="E116" s="41" t="s">
        <v>130</v>
      </c>
      <c r="F116" s="41">
        <v>0</v>
      </c>
      <c r="G116" s="41" t="s">
        <v>131</v>
      </c>
      <c r="H116" s="41">
        <v>3600</v>
      </c>
      <c r="I116" s="41" t="s">
        <v>132</v>
      </c>
      <c r="J116" s="48">
        <v>88.4</v>
      </c>
      <c r="K116" s="41" t="s">
        <v>59</v>
      </c>
      <c r="L116" s="41">
        <v>5</v>
      </c>
      <c r="P116" s="41" t="s">
        <v>130</v>
      </c>
      <c r="Q116" s="41" t="s">
        <v>70</v>
      </c>
      <c r="S116" s="41" t="s">
        <v>143</v>
      </c>
      <c r="T116" s="41" t="s">
        <v>144</v>
      </c>
      <c r="U116" s="41">
        <f t="shared" si="9"/>
        <v>2.7777777777777781E-7</v>
      </c>
    </row>
    <row r="117" spans="1:21" s="41" customFormat="1">
      <c r="A117" s="41">
        <v>2026</v>
      </c>
      <c r="B117" s="41" t="s">
        <v>150</v>
      </c>
      <c r="D117" s="41" t="s">
        <v>9</v>
      </c>
      <c r="E117" s="41" t="s">
        <v>130</v>
      </c>
      <c r="F117" s="41">
        <v>0</v>
      </c>
      <c r="G117" s="41" t="s">
        <v>131</v>
      </c>
      <c r="H117" s="41">
        <v>3600</v>
      </c>
      <c r="I117" s="41" t="s">
        <v>132</v>
      </c>
      <c r="J117" s="48">
        <v>86.9</v>
      </c>
      <c r="K117" s="41" t="s">
        <v>59</v>
      </c>
      <c r="L117" s="41">
        <v>5</v>
      </c>
      <c r="P117" s="41" t="s">
        <v>130</v>
      </c>
      <c r="Q117" s="41" t="s">
        <v>70</v>
      </c>
      <c r="S117" s="41" t="s">
        <v>143</v>
      </c>
      <c r="T117" s="41" t="s">
        <v>144</v>
      </c>
      <c r="U117" s="41">
        <f t="shared" si="9"/>
        <v>2.7777777777777781E-7</v>
      </c>
    </row>
    <row r="118" spans="1:21" s="41" customFormat="1">
      <c r="A118" s="41">
        <v>2027</v>
      </c>
      <c r="B118" s="41" t="s">
        <v>150</v>
      </c>
      <c r="D118" s="41" t="s">
        <v>9</v>
      </c>
      <c r="E118" s="41" t="s">
        <v>130</v>
      </c>
      <c r="F118" s="41">
        <v>0</v>
      </c>
      <c r="G118" s="41" t="s">
        <v>131</v>
      </c>
      <c r="H118" s="41">
        <v>3600</v>
      </c>
      <c r="I118" s="41" t="s">
        <v>132</v>
      </c>
      <c r="J118" s="48">
        <v>85.4</v>
      </c>
      <c r="K118" s="41" t="s">
        <v>59</v>
      </c>
      <c r="L118" s="41">
        <v>5</v>
      </c>
      <c r="P118" s="41" t="s">
        <v>130</v>
      </c>
      <c r="Q118" s="41" t="s">
        <v>70</v>
      </c>
      <c r="S118" s="41" t="s">
        <v>143</v>
      </c>
      <c r="T118" s="41" t="s">
        <v>144</v>
      </c>
      <c r="U118" s="41">
        <f t="shared" si="9"/>
        <v>2.7777777777777781E-7</v>
      </c>
    </row>
    <row r="119" spans="1:21" s="41" customFormat="1">
      <c r="A119" s="41">
        <v>2028</v>
      </c>
      <c r="B119" s="41" t="s">
        <v>150</v>
      </c>
      <c r="D119" s="41" t="s">
        <v>9</v>
      </c>
      <c r="E119" s="41" t="s">
        <v>130</v>
      </c>
      <c r="F119" s="41">
        <v>0</v>
      </c>
      <c r="G119" s="41" t="s">
        <v>131</v>
      </c>
      <c r="H119" s="41">
        <v>3600</v>
      </c>
      <c r="I119" s="41" t="s">
        <v>132</v>
      </c>
      <c r="J119" s="48">
        <v>83.8</v>
      </c>
      <c r="K119" s="41" t="s">
        <v>59</v>
      </c>
      <c r="L119" s="41">
        <v>5</v>
      </c>
      <c r="P119" s="41" t="s">
        <v>130</v>
      </c>
      <c r="Q119" s="41" t="s">
        <v>70</v>
      </c>
      <c r="S119" s="41" t="s">
        <v>143</v>
      </c>
      <c r="T119" s="41" t="s">
        <v>144</v>
      </c>
      <c r="U119" s="41">
        <f t="shared" si="9"/>
        <v>2.7777777777777781E-7</v>
      </c>
    </row>
    <row r="120" spans="1:21" s="41" customFormat="1">
      <c r="A120" s="41">
        <v>2029</v>
      </c>
      <c r="B120" s="41" t="s">
        <v>150</v>
      </c>
      <c r="D120" s="41" t="s">
        <v>9</v>
      </c>
      <c r="E120" s="41" t="s">
        <v>130</v>
      </c>
      <c r="F120" s="41">
        <v>0</v>
      </c>
      <c r="G120" s="41" t="s">
        <v>131</v>
      </c>
      <c r="H120" s="41">
        <v>3600</v>
      </c>
      <c r="I120" s="41" t="s">
        <v>132</v>
      </c>
      <c r="J120" s="48">
        <v>79.099999999999994</v>
      </c>
      <c r="K120" s="41" t="s">
        <v>59</v>
      </c>
      <c r="L120" s="41">
        <v>5</v>
      </c>
      <c r="P120" s="41" t="s">
        <v>130</v>
      </c>
      <c r="Q120" s="41" t="s">
        <v>70</v>
      </c>
      <c r="S120" s="41" t="s">
        <v>143</v>
      </c>
      <c r="T120" s="41" t="s">
        <v>144</v>
      </c>
      <c r="U120" s="41">
        <f t="shared" si="9"/>
        <v>2.7777777777777781E-7</v>
      </c>
    </row>
    <row r="121" spans="1:21" s="41" customFormat="1">
      <c r="A121" s="41">
        <v>2030</v>
      </c>
      <c r="B121" s="41" t="s">
        <v>150</v>
      </c>
      <c r="D121" s="41" t="s">
        <v>9</v>
      </c>
      <c r="E121" s="41" t="s">
        <v>130</v>
      </c>
      <c r="F121" s="41">
        <v>0</v>
      </c>
      <c r="G121" s="41" t="s">
        <v>131</v>
      </c>
      <c r="H121" s="41">
        <v>3600</v>
      </c>
      <c r="I121" s="41" t="s">
        <v>132</v>
      </c>
      <c r="J121" s="48">
        <v>74.400000000000006</v>
      </c>
      <c r="K121" s="41" t="s">
        <v>59</v>
      </c>
      <c r="L121" s="41">
        <v>5</v>
      </c>
      <c r="P121" s="41" t="s">
        <v>130</v>
      </c>
      <c r="Q121" s="41" t="s">
        <v>70</v>
      </c>
      <c r="S121" s="41" t="s">
        <v>143</v>
      </c>
      <c r="T121" s="41" t="s">
        <v>144</v>
      </c>
      <c r="U121" s="41">
        <f t="shared" si="9"/>
        <v>2.7777777777777781E-7</v>
      </c>
    </row>
    <row r="122" spans="1:21" s="41" customFormat="1">
      <c r="A122" s="41">
        <v>2031</v>
      </c>
      <c r="B122" s="41" t="s">
        <v>150</v>
      </c>
      <c r="D122" s="41" t="s">
        <v>9</v>
      </c>
      <c r="E122" s="41" t="s">
        <v>130</v>
      </c>
      <c r="F122" s="41">
        <v>0</v>
      </c>
      <c r="G122" s="41" t="s">
        <v>131</v>
      </c>
      <c r="H122" s="41">
        <v>3600</v>
      </c>
      <c r="I122" s="41" t="s">
        <v>132</v>
      </c>
      <c r="J122" s="48">
        <v>71.3</v>
      </c>
      <c r="K122" s="41" t="s">
        <v>59</v>
      </c>
      <c r="L122" s="41">
        <v>5</v>
      </c>
      <c r="P122" s="41" t="s">
        <v>130</v>
      </c>
      <c r="Q122" s="41" t="s">
        <v>70</v>
      </c>
      <c r="S122" s="41" t="s">
        <v>143</v>
      </c>
      <c r="T122" s="41" t="s">
        <v>144</v>
      </c>
      <c r="U122" s="41">
        <f t="shared" si="9"/>
        <v>2.7777777777777781E-7</v>
      </c>
    </row>
    <row r="123" spans="1:21" s="41" customFormat="1">
      <c r="A123" s="41">
        <v>2032</v>
      </c>
      <c r="B123" s="41" t="s">
        <v>150</v>
      </c>
      <c r="D123" s="41" t="s">
        <v>9</v>
      </c>
      <c r="E123" s="41" t="s">
        <v>130</v>
      </c>
      <c r="F123" s="41">
        <v>0</v>
      </c>
      <c r="G123" s="41" t="s">
        <v>131</v>
      </c>
      <c r="H123" s="41">
        <v>3600</v>
      </c>
      <c r="I123" s="41" t="s">
        <v>132</v>
      </c>
      <c r="J123" s="48">
        <v>68.3</v>
      </c>
      <c r="K123" s="41" t="s">
        <v>59</v>
      </c>
      <c r="L123" s="41">
        <v>5</v>
      </c>
      <c r="P123" s="41" t="s">
        <v>130</v>
      </c>
      <c r="Q123" s="41" t="s">
        <v>70</v>
      </c>
      <c r="S123" s="41" t="s">
        <v>143</v>
      </c>
      <c r="T123" s="41" t="s">
        <v>144</v>
      </c>
      <c r="U123" s="41">
        <f t="shared" si="9"/>
        <v>2.7777777777777781E-7</v>
      </c>
    </row>
    <row r="124" spans="1:21" s="41" customFormat="1">
      <c r="A124" s="41">
        <v>2033</v>
      </c>
      <c r="B124" s="41" t="s">
        <v>150</v>
      </c>
      <c r="D124" s="41" t="s">
        <v>9</v>
      </c>
      <c r="E124" s="41" t="s">
        <v>130</v>
      </c>
      <c r="F124" s="41">
        <v>0</v>
      </c>
      <c r="G124" s="41" t="s">
        <v>131</v>
      </c>
      <c r="H124" s="41">
        <v>3600</v>
      </c>
      <c r="I124" s="41" t="s">
        <v>132</v>
      </c>
      <c r="J124" s="48">
        <v>65.2</v>
      </c>
      <c r="K124" s="41" t="s">
        <v>59</v>
      </c>
      <c r="L124" s="41">
        <v>5</v>
      </c>
      <c r="P124" s="41" t="s">
        <v>130</v>
      </c>
      <c r="Q124" s="41" t="s">
        <v>70</v>
      </c>
      <c r="S124" s="41" t="s">
        <v>143</v>
      </c>
      <c r="T124" s="41" t="s">
        <v>144</v>
      </c>
      <c r="U124" s="41">
        <f t="shared" si="9"/>
        <v>2.7777777777777781E-7</v>
      </c>
    </row>
    <row r="125" spans="1:21" s="41" customFormat="1">
      <c r="A125" s="41">
        <v>2034</v>
      </c>
      <c r="B125" s="41" t="s">
        <v>150</v>
      </c>
      <c r="D125" s="41" t="s">
        <v>9</v>
      </c>
      <c r="E125" s="41" t="s">
        <v>130</v>
      </c>
      <c r="F125" s="41">
        <v>0</v>
      </c>
      <c r="G125" s="41" t="s">
        <v>131</v>
      </c>
      <c r="H125" s="41">
        <v>3600</v>
      </c>
      <c r="I125" s="41" t="s">
        <v>132</v>
      </c>
      <c r="J125" s="48">
        <v>62.1</v>
      </c>
      <c r="K125" s="41" t="s">
        <v>59</v>
      </c>
      <c r="L125" s="41">
        <v>5</v>
      </c>
      <c r="P125" s="41" t="s">
        <v>130</v>
      </c>
      <c r="Q125" s="41" t="s">
        <v>70</v>
      </c>
      <c r="S125" s="41" t="s">
        <v>143</v>
      </c>
      <c r="T125" s="41" t="s">
        <v>144</v>
      </c>
      <c r="U125" s="41">
        <f t="shared" si="9"/>
        <v>2.7777777777777781E-7</v>
      </c>
    </row>
    <row r="126" spans="1:21" s="41" customFormat="1">
      <c r="A126" s="41">
        <v>2035</v>
      </c>
      <c r="B126" s="41" t="s">
        <v>150</v>
      </c>
      <c r="D126" s="41" t="s">
        <v>9</v>
      </c>
      <c r="E126" s="41" t="s">
        <v>130</v>
      </c>
      <c r="F126" s="41">
        <v>0</v>
      </c>
      <c r="G126" s="41" t="s">
        <v>131</v>
      </c>
      <c r="H126" s="41">
        <v>3600</v>
      </c>
      <c r="I126" s="41" t="s">
        <v>132</v>
      </c>
      <c r="J126" s="48">
        <v>59.1</v>
      </c>
      <c r="K126" s="41" t="s">
        <v>59</v>
      </c>
      <c r="L126" s="41">
        <v>5</v>
      </c>
      <c r="P126" s="41" t="s">
        <v>130</v>
      </c>
      <c r="Q126" s="41" t="s">
        <v>70</v>
      </c>
      <c r="S126" s="41" t="s">
        <v>143</v>
      </c>
      <c r="T126" s="41" t="s">
        <v>144</v>
      </c>
      <c r="U126" s="41">
        <f t="shared" si="9"/>
        <v>2.7777777777777781E-7</v>
      </c>
    </row>
    <row r="127" spans="1:21" s="41" customFormat="1">
      <c r="A127" s="41">
        <v>2036</v>
      </c>
      <c r="B127" s="41" t="s">
        <v>150</v>
      </c>
      <c r="D127" s="41" t="s">
        <v>9</v>
      </c>
      <c r="E127" s="41" t="s">
        <v>130</v>
      </c>
      <c r="F127" s="41">
        <v>0</v>
      </c>
      <c r="G127" s="41" t="s">
        <v>131</v>
      </c>
      <c r="H127" s="41">
        <v>3600</v>
      </c>
      <c r="I127" s="41" t="s">
        <v>132</v>
      </c>
      <c r="J127" s="48">
        <v>57.8</v>
      </c>
      <c r="K127" s="41" t="s">
        <v>59</v>
      </c>
      <c r="L127" s="41">
        <v>5</v>
      </c>
      <c r="P127" s="41" t="s">
        <v>130</v>
      </c>
      <c r="Q127" s="41" t="s">
        <v>70</v>
      </c>
      <c r="S127" s="41" t="s">
        <v>143</v>
      </c>
      <c r="T127" s="41" t="s">
        <v>144</v>
      </c>
      <c r="U127" s="41">
        <f t="shared" si="9"/>
        <v>2.7777777777777781E-7</v>
      </c>
    </row>
    <row r="128" spans="1:21" s="41" customFormat="1">
      <c r="A128" s="41">
        <v>2037</v>
      </c>
      <c r="B128" s="41" t="s">
        <v>150</v>
      </c>
      <c r="D128" s="41" t="s">
        <v>9</v>
      </c>
      <c r="E128" s="41" t="s">
        <v>130</v>
      </c>
      <c r="F128" s="41">
        <v>0</v>
      </c>
      <c r="G128" s="41" t="s">
        <v>131</v>
      </c>
      <c r="H128" s="41">
        <v>3600</v>
      </c>
      <c r="I128" s="41" t="s">
        <v>132</v>
      </c>
      <c r="J128" s="48">
        <v>56.6</v>
      </c>
      <c r="K128" s="41" t="s">
        <v>59</v>
      </c>
      <c r="L128" s="41">
        <v>5</v>
      </c>
      <c r="P128" s="41" t="s">
        <v>130</v>
      </c>
      <c r="Q128" s="41" t="s">
        <v>70</v>
      </c>
      <c r="S128" s="41" t="s">
        <v>143</v>
      </c>
      <c r="T128" s="41" t="s">
        <v>144</v>
      </c>
      <c r="U128" s="41">
        <f t="shared" si="9"/>
        <v>2.7777777777777781E-7</v>
      </c>
    </row>
    <row r="129" spans="1:21" s="41" customFormat="1">
      <c r="A129" s="41">
        <v>2038</v>
      </c>
      <c r="B129" s="41" t="s">
        <v>150</v>
      </c>
      <c r="D129" s="41" t="s">
        <v>9</v>
      </c>
      <c r="E129" s="41" t="s">
        <v>130</v>
      </c>
      <c r="F129" s="41">
        <v>0</v>
      </c>
      <c r="G129" s="41" t="s">
        <v>131</v>
      </c>
      <c r="H129" s="41">
        <v>3600</v>
      </c>
      <c r="I129" s="41" t="s">
        <v>132</v>
      </c>
      <c r="J129" s="48">
        <v>55.4</v>
      </c>
      <c r="K129" s="41" t="s">
        <v>59</v>
      </c>
      <c r="L129" s="41">
        <v>5</v>
      </c>
      <c r="P129" s="41" t="s">
        <v>130</v>
      </c>
      <c r="Q129" s="41" t="s">
        <v>70</v>
      </c>
      <c r="S129" s="41" t="s">
        <v>143</v>
      </c>
      <c r="T129" s="41" t="s">
        <v>144</v>
      </c>
      <c r="U129" s="41">
        <f t="shared" si="9"/>
        <v>2.7777777777777781E-7</v>
      </c>
    </row>
    <row r="130" spans="1:21" s="41" customFormat="1">
      <c r="A130" s="41">
        <v>2039</v>
      </c>
      <c r="B130" s="41" t="s">
        <v>150</v>
      </c>
      <c r="D130" s="41" t="s">
        <v>9</v>
      </c>
      <c r="E130" s="41" t="s">
        <v>130</v>
      </c>
      <c r="F130" s="41">
        <v>0</v>
      </c>
      <c r="G130" s="41" t="s">
        <v>131</v>
      </c>
      <c r="H130" s="41">
        <v>3600</v>
      </c>
      <c r="I130" s="41" t="s">
        <v>132</v>
      </c>
      <c r="J130" s="48">
        <v>54.2</v>
      </c>
      <c r="K130" s="41" t="s">
        <v>59</v>
      </c>
      <c r="L130" s="41">
        <v>5</v>
      </c>
      <c r="P130" s="41" t="s">
        <v>130</v>
      </c>
      <c r="Q130" s="41" t="s">
        <v>70</v>
      </c>
      <c r="S130" s="41" t="s">
        <v>143</v>
      </c>
      <c r="T130" s="41" t="s">
        <v>144</v>
      </c>
      <c r="U130" s="41">
        <f t="shared" si="9"/>
        <v>2.7777777777777781E-7</v>
      </c>
    </row>
    <row r="131" spans="1:21" s="41" customFormat="1">
      <c r="A131" s="41">
        <v>2040</v>
      </c>
      <c r="B131" s="41" t="s">
        <v>150</v>
      </c>
      <c r="D131" s="41" t="s">
        <v>9</v>
      </c>
      <c r="E131" s="41" t="s">
        <v>130</v>
      </c>
      <c r="F131" s="41">
        <v>0</v>
      </c>
      <c r="G131" s="41" t="s">
        <v>131</v>
      </c>
      <c r="H131" s="41">
        <v>3600</v>
      </c>
      <c r="I131" s="41" t="s">
        <v>132</v>
      </c>
      <c r="J131" s="48">
        <v>53</v>
      </c>
      <c r="K131" s="41" t="s">
        <v>59</v>
      </c>
      <c r="L131" s="41">
        <v>5</v>
      </c>
      <c r="P131" s="41" t="s">
        <v>130</v>
      </c>
      <c r="Q131" s="41" t="s">
        <v>70</v>
      </c>
      <c r="S131" s="41" t="s">
        <v>143</v>
      </c>
      <c r="T131" s="41" t="s">
        <v>144</v>
      </c>
      <c r="U131" s="41">
        <f t="shared" si="9"/>
        <v>2.7777777777777781E-7</v>
      </c>
    </row>
    <row r="132" spans="1:21" s="41" customFormat="1">
      <c r="A132" s="41">
        <v>2041</v>
      </c>
      <c r="B132" s="41" t="s">
        <v>150</v>
      </c>
      <c r="D132" s="41" t="s">
        <v>9</v>
      </c>
      <c r="E132" s="41" t="s">
        <v>130</v>
      </c>
      <c r="F132" s="41">
        <v>0</v>
      </c>
      <c r="G132" s="41" t="s">
        <v>131</v>
      </c>
      <c r="H132" s="41">
        <v>3600</v>
      </c>
      <c r="I132" s="41" t="s">
        <v>132</v>
      </c>
      <c r="J132" s="48">
        <v>51.8</v>
      </c>
      <c r="K132" s="41" t="s">
        <v>59</v>
      </c>
      <c r="L132" s="41">
        <v>5</v>
      </c>
      <c r="P132" s="41" t="s">
        <v>130</v>
      </c>
      <c r="Q132" s="41" t="s">
        <v>70</v>
      </c>
      <c r="S132" s="41" t="s">
        <v>143</v>
      </c>
      <c r="T132" s="41" t="s">
        <v>144</v>
      </c>
      <c r="U132" s="41">
        <f t="shared" si="9"/>
        <v>2.7777777777777781E-7</v>
      </c>
    </row>
    <row r="133" spans="1:21" s="41" customFormat="1">
      <c r="A133" s="41">
        <v>2042</v>
      </c>
      <c r="B133" s="41" t="s">
        <v>150</v>
      </c>
      <c r="D133" s="41" t="s">
        <v>9</v>
      </c>
      <c r="E133" s="41" t="s">
        <v>130</v>
      </c>
      <c r="F133" s="41">
        <v>0</v>
      </c>
      <c r="G133" s="41" t="s">
        <v>131</v>
      </c>
      <c r="H133" s="41">
        <v>3600</v>
      </c>
      <c r="I133" s="41" t="s">
        <v>132</v>
      </c>
      <c r="J133" s="48">
        <v>50.6</v>
      </c>
      <c r="K133" s="41" t="s">
        <v>59</v>
      </c>
      <c r="L133" s="41">
        <v>5</v>
      </c>
      <c r="P133" s="41" t="s">
        <v>130</v>
      </c>
      <c r="Q133" s="41" t="s">
        <v>70</v>
      </c>
      <c r="S133" s="41" t="s">
        <v>143</v>
      </c>
      <c r="T133" s="41" t="s">
        <v>144</v>
      </c>
      <c r="U133" s="41">
        <f t="shared" si="9"/>
        <v>2.7777777777777781E-7</v>
      </c>
    </row>
    <row r="134" spans="1:21" s="41" customFormat="1">
      <c r="A134" s="41">
        <v>2043</v>
      </c>
      <c r="B134" s="41" t="s">
        <v>150</v>
      </c>
      <c r="D134" s="41" t="s">
        <v>9</v>
      </c>
      <c r="E134" s="41" t="s">
        <v>130</v>
      </c>
      <c r="F134" s="41">
        <v>0</v>
      </c>
      <c r="G134" s="41" t="s">
        <v>131</v>
      </c>
      <c r="H134" s="41">
        <v>3600</v>
      </c>
      <c r="I134" s="41" t="s">
        <v>132</v>
      </c>
      <c r="J134" s="48">
        <v>49.5</v>
      </c>
      <c r="K134" s="41" t="s">
        <v>59</v>
      </c>
      <c r="L134" s="41">
        <v>5</v>
      </c>
      <c r="P134" s="41" t="s">
        <v>130</v>
      </c>
      <c r="Q134" s="41" t="s">
        <v>70</v>
      </c>
      <c r="S134" s="41" t="s">
        <v>143</v>
      </c>
      <c r="T134" s="41" t="s">
        <v>144</v>
      </c>
      <c r="U134" s="41">
        <f t="shared" si="9"/>
        <v>2.7777777777777781E-7</v>
      </c>
    </row>
    <row r="135" spans="1:21" s="41" customFormat="1">
      <c r="A135" s="41">
        <v>2044</v>
      </c>
      <c r="B135" s="41" t="s">
        <v>150</v>
      </c>
      <c r="D135" s="41" t="s">
        <v>9</v>
      </c>
      <c r="E135" s="41" t="s">
        <v>130</v>
      </c>
      <c r="F135" s="41">
        <v>0</v>
      </c>
      <c r="G135" s="41" t="s">
        <v>131</v>
      </c>
      <c r="H135" s="41">
        <v>3600</v>
      </c>
      <c r="I135" s="41" t="s">
        <v>132</v>
      </c>
      <c r="J135" s="48">
        <v>48.3</v>
      </c>
      <c r="K135" s="41" t="s">
        <v>59</v>
      </c>
      <c r="L135" s="41">
        <v>5</v>
      </c>
      <c r="P135" s="41" t="s">
        <v>130</v>
      </c>
      <c r="Q135" s="41" t="s">
        <v>70</v>
      </c>
      <c r="S135" s="41" t="s">
        <v>143</v>
      </c>
      <c r="T135" s="41" t="s">
        <v>144</v>
      </c>
      <c r="U135" s="41">
        <f t="shared" si="9"/>
        <v>2.7777777777777781E-7</v>
      </c>
    </row>
    <row r="136" spans="1:21" s="41" customFormat="1">
      <c r="A136" s="41">
        <v>2045</v>
      </c>
      <c r="B136" s="41" t="s">
        <v>150</v>
      </c>
      <c r="D136" s="41" t="s">
        <v>9</v>
      </c>
      <c r="E136" s="41" t="s">
        <v>130</v>
      </c>
      <c r="F136" s="41">
        <v>0</v>
      </c>
      <c r="G136" s="41" t="s">
        <v>131</v>
      </c>
      <c r="H136" s="41">
        <v>3600</v>
      </c>
      <c r="I136" s="41" t="s">
        <v>132</v>
      </c>
      <c r="J136" s="48">
        <v>16.5</v>
      </c>
      <c r="K136" s="41" t="s">
        <v>59</v>
      </c>
      <c r="L136" s="41">
        <v>5</v>
      </c>
      <c r="P136" s="41" t="s">
        <v>130</v>
      </c>
      <c r="Q136" s="41" t="s">
        <v>70</v>
      </c>
      <c r="S136" s="41" t="s">
        <v>143</v>
      </c>
      <c r="T136" s="41" t="s">
        <v>144</v>
      </c>
      <c r="U136" s="41">
        <f t="shared" si="9"/>
        <v>2.7777777777777781E-7</v>
      </c>
    </row>
    <row r="137" spans="1:21" s="41" customFormat="1">
      <c r="A137" s="41">
        <v>2022</v>
      </c>
      <c r="B137" s="41" t="s">
        <v>151</v>
      </c>
      <c r="D137" s="46" t="s">
        <v>15</v>
      </c>
      <c r="E137" s="41" t="s">
        <v>15</v>
      </c>
      <c r="F137" s="41">
        <v>1001</v>
      </c>
      <c r="G137" s="41" t="s">
        <v>48</v>
      </c>
      <c r="H137" s="41">
        <v>1</v>
      </c>
      <c r="I137" s="41" t="s">
        <v>49</v>
      </c>
      <c r="J137" s="41">
        <f>-1000000</f>
        <v>-1000000</v>
      </c>
      <c r="K137" s="41" t="s">
        <v>50</v>
      </c>
      <c r="L137" s="41">
        <v>1</v>
      </c>
      <c r="M137" s="41" t="s">
        <v>51</v>
      </c>
      <c r="P137" s="41" t="s">
        <v>151</v>
      </c>
      <c r="Q137" s="41" t="s">
        <v>53</v>
      </c>
      <c r="S137" s="41" t="s">
        <v>151</v>
      </c>
      <c r="T137" s="41" t="s">
        <v>54</v>
      </c>
      <c r="U137" s="41">
        <f>1/1000000</f>
        <v>9.9999999999999995E-7</v>
      </c>
    </row>
    <row r="138" spans="1:21" s="41" customFormat="1">
      <c r="A138" s="41">
        <v>2022</v>
      </c>
      <c r="B138" s="41" t="s">
        <v>152</v>
      </c>
      <c r="C138" s="41" t="s">
        <v>79</v>
      </c>
      <c r="D138" s="41" t="s">
        <v>12</v>
      </c>
      <c r="E138" s="41" t="s">
        <v>124</v>
      </c>
      <c r="F138" s="41">
        <v>11.4</v>
      </c>
      <c r="G138" s="41" t="s">
        <v>81</v>
      </c>
      <c r="H138" s="41">
        <v>1055</v>
      </c>
      <c r="I138" s="41" t="s">
        <v>82</v>
      </c>
      <c r="J138" s="41">
        <v>45</v>
      </c>
      <c r="K138" s="41" t="s">
        <v>59</v>
      </c>
      <c r="L138" s="41">
        <v>0.9</v>
      </c>
      <c r="N138" s="42">
        <f>0.037</f>
        <v>3.6999999999999998E-2</v>
      </c>
      <c r="O138" s="41" t="s">
        <v>61</v>
      </c>
      <c r="P138" s="41" t="s">
        <v>153</v>
      </c>
      <c r="Q138" s="41" t="s">
        <v>70</v>
      </c>
      <c r="S138" s="41" t="s">
        <v>154</v>
      </c>
      <c r="T138" s="41" t="s">
        <v>86</v>
      </c>
      <c r="U138" s="41">
        <f>1/134.47/1000000</f>
        <v>7.436602959767978E-9</v>
      </c>
    </row>
    <row r="139" spans="1:21" s="41" customFormat="1">
      <c r="A139" s="41">
        <v>2022</v>
      </c>
      <c r="B139" s="41" t="s">
        <v>155</v>
      </c>
      <c r="D139" s="46" t="s">
        <v>15</v>
      </c>
      <c r="E139" s="41" t="s">
        <v>15</v>
      </c>
      <c r="F139" s="41">
        <v>1001</v>
      </c>
      <c r="G139" s="41" t="s">
        <v>48</v>
      </c>
      <c r="H139" s="41">
        <v>1</v>
      </c>
      <c r="I139" s="41" t="s">
        <v>49</v>
      </c>
      <c r="J139" s="41">
        <f>-1000000</f>
        <v>-1000000</v>
      </c>
      <c r="K139" s="41" t="s">
        <v>50</v>
      </c>
      <c r="L139" s="41">
        <v>1</v>
      </c>
      <c r="M139" s="41" t="s">
        <v>51</v>
      </c>
      <c r="P139" s="41" t="s">
        <v>155</v>
      </c>
      <c r="Q139" s="41" t="s">
        <v>53</v>
      </c>
      <c r="S139" s="41" t="s">
        <v>155</v>
      </c>
      <c r="T139" s="41" t="s">
        <v>54</v>
      </c>
      <c r="U139" s="41">
        <f>1/1000000</f>
        <v>9.9999999999999995E-7</v>
      </c>
    </row>
    <row r="140" spans="1:21" s="41" customFormat="1">
      <c r="A140" s="41">
        <v>2022</v>
      </c>
      <c r="B140" s="41" t="s">
        <v>156</v>
      </c>
      <c r="C140" s="41" t="s">
        <v>123</v>
      </c>
      <c r="D140" s="41" t="s">
        <v>10</v>
      </c>
      <c r="E140" s="41" t="s">
        <v>124</v>
      </c>
      <c r="F140" s="41">
        <v>51.2</v>
      </c>
      <c r="G140" s="41" t="s">
        <v>81</v>
      </c>
      <c r="H140" s="41">
        <v>865.1</v>
      </c>
      <c r="I140" s="41" t="s">
        <v>82</v>
      </c>
      <c r="J140" s="41">
        <v>99</v>
      </c>
      <c r="K140" s="41" t="s">
        <v>59</v>
      </c>
      <c r="L140" s="41">
        <v>2.5</v>
      </c>
      <c r="M140" s="41" t="s">
        <v>125</v>
      </c>
      <c r="N140" s="47">
        <v>8.3300000000000006E-3</v>
      </c>
      <c r="O140" s="41" t="s">
        <v>61</v>
      </c>
      <c r="P140" s="41" t="s">
        <v>126</v>
      </c>
      <c r="Q140" s="41" t="s">
        <v>78</v>
      </c>
      <c r="S140" s="41" t="s">
        <v>157</v>
      </c>
      <c r="T140" s="41" t="s">
        <v>128</v>
      </c>
      <c r="U140" s="41">
        <f>1/120/1000000</f>
        <v>8.3333333333333335E-9</v>
      </c>
    </row>
    <row r="141" spans="1:21" s="41" customFormat="1">
      <c r="A141" s="41">
        <v>2022</v>
      </c>
      <c r="B141" s="41" t="s">
        <v>156</v>
      </c>
      <c r="C141" s="41" t="s">
        <v>129</v>
      </c>
      <c r="D141" s="41" t="s">
        <v>10</v>
      </c>
      <c r="E141" s="41" t="s">
        <v>130</v>
      </c>
      <c r="F141" s="41">
        <v>86</v>
      </c>
      <c r="G141" s="41" t="s">
        <v>131</v>
      </c>
      <c r="H141" s="41">
        <v>2066.4</v>
      </c>
      <c r="I141" s="41" t="s">
        <v>132</v>
      </c>
      <c r="J141" s="41">
        <v>164.46</v>
      </c>
      <c r="K141" s="41" t="s">
        <v>59</v>
      </c>
      <c r="L141" s="41">
        <v>2.5</v>
      </c>
      <c r="P141" s="41" t="s">
        <v>133</v>
      </c>
      <c r="Q141" s="41" t="s">
        <v>78</v>
      </c>
      <c r="S141" s="41" t="s">
        <v>158</v>
      </c>
      <c r="T141" s="41" t="s">
        <v>128</v>
      </c>
      <c r="U141" s="41">
        <f>1/120/1000000</f>
        <v>8.3333333333333335E-9</v>
      </c>
    </row>
    <row r="142" spans="1:21" s="41" customFormat="1">
      <c r="A142" s="41">
        <v>2022</v>
      </c>
      <c r="B142" s="41" t="s">
        <v>159</v>
      </c>
      <c r="C142" s="41" t="s">
        <v>129</v>
      </c>
      <c r="D142" s="41" t="s">
        <v>10</v>
      </c>
      <c r="E142" s="41" t="s">
        <v>130</v>
      </c>
      <c r="F142" s="41">
        <v>137</v>
      </c>
      <c r="G142" s="41" t="s">
        <v>131</v>
      </c>
      <c r="H142" s="41">
        <v>2066.4</v>
      </c>
      <c r="I142" s="41" t="s">
        <v>132</v>
      </c>
      <c r="J142" s="41">
        <v>10.51</v>
      </c>
      <c r="K142" s="41" t="s">
        <v>59</v>
      </c>
      <c r="L142" s="41">
        <v>2.5</v>
      </c>
      <c r="M142" s="41" t="s">
        <v>125</v>
      </c>
      <c r="N142" s="41">
        <v>2.5000000000000001E-2</v>
      </c>
      <c r="O142" s="41" t="s">
        <v>61</v>
      </c>
      <c r="P142" s="41" t="s">
        <v>136</v>
      </c>
      <c r="Q142" s="41" t="s">
        <v>78</v>
      </c>
      <c r="S142" s="41" t="s">
        <v>160</v>
      </c>
      <c r="T142" s="41" t="s">
        <v>128</v>
      </c>
      <c r="U142" s="41">
        <f>1/120/1000000</f>
        <v>8.3333333333333335E-9</v>
      </c>
    </row>
    <row r="143" spans="1:21" s="41" customFormat="1">
      <c r="A143" s="41">
        <v>2045</v>
      </c>
      <c r="B143" s="41" t="s">
        <v>161</v>
      </c>
      <c r="C143" s="41" t="s">
        <v>123</v>
      </c>
      <c r="D143" s="41" t="s">
        <v>10</v>
      </c>
      <c r="E143" s="41" t="s">
        <v>87</v>
      </c>
      <c r="F143" s="41">
        <v>51.2</v>
      </c>
      <c r="G143" s="41" t="s">
        <v>81</v>
      </c>
      <c r="H143" s="41">
        <v>865.1</v>
      </c>
      <c r="I143" s="41" t="s">
        <v>82</v>
      </c>
      <c r="J143" s="41">
        <v>-353</v>
      </c>
      <c r="K143" s="41" t="s">
        <v>59</v>
      </c>
      <c r="L143" s="41">
        <v>2.5</v>
      </c>
      <c r="M143" s="41" t="s">
        <v>125</v>
      </c>
      <c r="N143" s="47">
        <v>2.5000000000000001E-2</v>
      </c>
      <c r="O143" s="41" t="s">
        <v>61</v>
      </c>
      <c r="P143" s="41" t="s">
        <v>139</v>
      </c>
      <c r="Q143" s="41" t="s">
        <v>78</v>
      </c>
      <c r="S143" s="41" t="s">
        <v>162</v>
      </c>
      <c r="T143" s="41" t="s">
        <v>128</v>
      </c>
      <c r="U143" s="41">
        <f>1/120/1000000</f>
        <v>8.3333333333333335E-9</v>
      </c>
    </row>
    <row r="144" spans="1:21" s="41" customFormat="1">
      <c r="A144" s="41">
        <v>2045</v>
      </c>
      <c r="B144" s="41" t="s">
        <v>161</v>
      </c>
      <c r="C144" s="41" t="s">
        <v>123</v>
      </c>
      <c r="D144" s="41" t="s">
        <v>10</v>
      </c>
      <c r="E144" s="41" t="s">
        <v>90</v>
      </c>
      <c r="F144" s="41">
        <v>51.2</v>
      </c>
      <c r="G144" s="41" t="s">
        <v>81</v>
      </c>
      <c r="H144" s="41">
        <v>865.1</v>
      </c>
      <c r="I144" s="41" t="s">
        <v>82</v>
      </c>
      <c r="J144" s="41">
        <v>-353</v>
      </c>
      <c r="K144" s="41" t="s">
        <v>59</v>
      </c>
      <c r="L144" s="41">
        <v>2.5</v>
      </c>
      <c r="M144" s="41" t="s">
        <v>125</v>
      </c>
      <c r="N144" s="47">
        <v>2.5000000000000001E-2</v>
      </c>
      <c r="O144" s="41" t="s">
        <v>61</v>
      </c>
      <c r="P144" s="41" t="s">
        <v>139</v>
      </c>
      <c r="Q144" s="41" t="s">
        <v>78</v>
      </c>
      <c r="S144" s="41" t="s">
        <v>162</v>
      </c>
      <c r="T144" s="41" t="s">
        <v>128</v>
      </c>
      <c r="U144" s="41">
        <f>1/120/1000000</f>
        <v>8.3333333333333335E-9</v>
      </c>
    </row>
    <row r="145" spans="1:21" s="41" customFormat="1">
      <c r="A145" s="41">
        <v>2022</v>
      </c>
      <c r="B145" s="41" t="s">
        <v>163</v>
      </c>
      <c r="D145" s="41" t="s">
        <v>8</v>
      </c>
      <c r="E145" s="41" t="s">
        <v>130</v>
      </c>
      <c r="F145" s="41">
        <v>18</v>
      </c>
      <c r="G145" s="41" t="s">
        <v>131</v>
      </c>
      <c r="H145" s="41">
        <v>3600</v>
      </c>
      <c r="I145" s="41" t="s">
        <v>132</v>
      </c>
      <c r="J145" s="41">
        <v>0</v>
      </c>
      <c r="K145" s="41" t="s">
        <v>59</v>
      </c>
      <c r="L145" s="41">
        <v>3.4</v>
      </c>
      <c r="M145" s="41" t="s">
        <v>142</v>
      </c>
      <c r="N145" s="41">
        <v>5.0000000000000001E-3</v>
      </c>
      <c r="O145" s="41" t="s">
        <v>61</v>
      </c>
      <c r="P145" s="41" t="s">
        <v>130</v>
      </c>
      <c r="Q145" s="41" t="s">
        <v>78</v>
      </c>
      <c r="S145" s="41" t="s">
        <v>164</v>
      </c>
      <c r="T145" s="41" t="s">
        <v>144</v>
      </c>
      <c r="U145" s="41">
        <f>1/3.6/1000000</f>
        <v>2.7777777777777781E-7</v>
      </c>
    </row>
    <row r="146" spans="1:21" s="41" customFormat="1">
      <c r="A146" s="41">
        <v>2040</v>
      </c>
      <c r="B146" s="41" t="s">
        <v>165</v>
      </c>
      <c r="D146" s="41" t="s">
        <v>8</v>
      </c>
      <c r="E146" s="41" t="s">
        <v>146</v>
      </c>
      <c r="F146" s="41">
        <v>0</v>
      </c>
      <c r="G146" s="41" t="s">
        <v>81</v>
      </c>
      <c r="H146" s="41">
        <v>601.34999999999991</v>
      </c>
      <c r="I146" s="41" t="s">
        <v>82</v>
      </c>
      <c r="J146" s="41">
        <v>-440</v>
      </c>
      <c r="K146" s="41" t="s">
        <v>59</v>
      </c>
      <c r="L146" s="41">
        <v>3.4</v>
      </c>
      <c r="P146" s="41" t="s">
        <v>147</v>
      </c>
      <c r="Q146" s="41" t="s">
        <v>78</v>
      </c>
      <c r="S146" s="41" t="s">
        <v>166</v>
      </c>
      <c r="T146" s="41" t="s">
        <v>144</v>
      </c>
      <c r="U146" s="41">
        <f>1/3.6/1000000</f>
        <v>2.7777777777777781E-7</v>
      </c>
    </row>
    <row r="147" spans="1:21" s="41" customFormat="1">
      <c r="A147" s="41">
        <v>2040</v>
      </c>
      <c r="B147" s="41" t="s">
        <v>165</v>
      </c>
      <c r="D147" s="41" t="s">
        <v>8</v>
      </c>
      <c r="E147" s="41" t="s">
        <v>149</v>
      </c>
      <c r="F147" s="41">
        <v>0</v>
      </c>
      <c r="G147" s="41" t="s">
        <v>81</v>
      </c>
      <c r="H147" s="41">
        <v>601.34999999999991</v>
      </c>
      <c r="I147" s="41" t="s">
        <v>82</v>
      </c>
      <c r="J147" s="41">
        <v>-440</v>
      </c>
      <c r="K147" s="41" t="s">
        <v>59</v>
      </c>
      <c r="L147" s="41">
        <v>3.4</v>
      </c>
      <c r="P147" s="41" t="s">
        <v>147</v>
      </c>
      <c r="Q147" s="41" t="s">
        <v>78</v>
      </c>
      <c r="S147" s="41" t="s">
        <v>166</v>
      </c>
      <c r="T147" s="41" t="s">
        <v>144</v>
      </c>
      <c r="U147" s="41">
        <f t="shared" ref="U147" si="10">1/3.6/1000000</f>
        <v>2.7777777777777781E-7</v>
      </c>
    </row>
    <row r="148" spans="1:21" s="41" customFormat="1">
      <c r="A148" s="41">
        <v>2022</v>
      </c>
      <c r="B148" s="41" t="s">
        <v>167</v>
      </c>
      <c r="D148" s="41" t="s">
        <v>8</v>
      </c>
      <c r="E148" s="41" t="s">
        <v>130</v>
      </c>
      <c r="F148" s="41">
        <v>0</v>
      </c>
      <c r="G148" s="41" t="s">
        <v>131</v>
      </c>
      <c r="H148" s="41">
        <v>3600</v>
      </c>
      <c r="I148" s="41" t="s">
        <v>132</v>
      </c>
      <c r="J148" s="41">
        <v>76.73</v>
      </c>
      <c r="K148" s="41" t="s">
        <v>59</v>
      </c>
      <c r="L148" s="41">
        <v>3.4</v>
      </c>
      <c r="P148" s="41" t="s">
        <v>130</v>
      </c>
      <c r="Q148" s="41" t="s">
        <v>78</v>
      </c>
      <c r="S148" s="41" t="s">
        <v>164</v>
      </c>
      <c r="T148" s="41" t="s">
        <v>144</v>
      </c>
      <c r="U148" s="41">
        <f>1/3.6/1000000</f>
        <v>2.7777777777777781E-7</v>
      </c>
    </row>
    <row r="149" spans="1:21" s="41" customFormat="1">
      <c r="A149" s="41">
        <v>2023</v>
      </c>
      <c r="B149" s="41" t="s">
        <v>167</v>
      </c>
      <c r="D149" s="41" t="s">
        <v>8</v>
      </c>
      <c r="E149" s="41" t="s">
        <v>130</v>
      </c>
      <c r="F149" s="41">
        <v>0</v>
      </c>
      <c r="G149" s="41" t="s">
        <v>131</v>
      </c>
      <c r="H149" s="41">
        <v>3600</v>
      </c>
      <c r="I149" s="41" t="s">
        <v>132</v>
      </c>
      <c r="J149" s="48">
        <v>81</v>
      </c>
      <c r="K149" s="41" t="s">
        <v>59</v>
      </c>
      <c r="L149" s="41">
        <v>3.4</v>
      </c>
      <c r="P149" s="41" t="s">
        <v>130</v>
      </c>
      <c r="Q149" s="41" t="s">
        <v>78</v>
      </c>
      <c r="S149" s="41" t="s">
        <v>164</v>
      </c>
      <c r="T149" s="41" t="s">
        <v>144</v>
      </c>
      <c r="U149" s="41">
        <f t="shared" ref="U149:U171" si="11">1/3.6/1000000</f>
        <v>2.7777777777777781E-7</v>
      </c>
    </row>
    <row r="150" spans="1:21" s="41" customFormat="1">
      <c r="A150" s="41">
        <v>2024</v>
      </c>
      <c r="B150" s="41" t="s">
        <v>167</v>
      </c>
      <c r="D150" s="41" t="s">
        <v>8</v>
      </c>
      <c r="E150" s="41" t="s">
        <v>130</v>
      </c>
      <c r="F150" s="41">
        <v>0</v>
      </c>
      <c r="G150" s="41" t="s">
        <v>131</v>
      </c>
      <c r="H150" s="41">
        <v>3600</v>
      </c>
      <c r="I150" s="41" t="s">
        <v>132</v>
      </c>
      <c r="J150" s="48">
        <v>84.7</v>
      </c>
      <c r="K150" s="41" t="s">
        <v>59</v>
      </c>
      <c r="L150" s="41">
        <v>3.4</v>
      </c>
      <c r="P150" s="41" t="s">
        <v>130</v>
      </c>
      <c r="Q150" s="41" t="s">
        <v>78</v>
      </c>
      <c r="S150" s="41" t="s">
        <v>164</v>
      </c>
      <c r="T150" s="41" t="s">
        <v>144</v>
      </c>
      <c r="U150" s="41">
        <f t="shared" si="11"/>
        <v>2.7777777777777781E-7</v>
      </c>
    </row>
    <row r="151" spans="1:21" s="41" customFormat="1">
      <c r="A151" s="41">
        <v>2025</v>
      </c>
      <c r="B151" s="41" t="s">
        <v>167</v>
      </c>
      <c r="D151" s="41" t="s">
        <v>8</v>
      </c>
      <c r="E151" s="41" t="s">
        <v>130</v>
      </c>
      <c r="F151" s="41">
        <v>0</v>
      </c>
      <c r="G151" s="41" t="s">
        <v>131</v>
      </c>
      <c r="H151" s="41">
        <v>3600</v>
      </c>
      <c r="I151" s="41" t="s">
        <v>132</v>
      </c>
      <c r="J151" s="48">
        <v>88.4</v>
      </c>
      <c r="K151" s="41" t="s">
        <v>59</v>
      </c>
      <c r="L151" s="41">
        <v>3.4</v>
      </c>
      <c r="P151" s="41" t="s">
        <v>130</v>
      </c>
      <c r="Q151" s="41" t="s">
        <v>78</v>
      </c>
      <c r="S151" s="41" t="s">
        <v>164</v>
      </c>
      <c r="T151" s="41" t="s">
        <v>144</v>
      </c>
      <c r="U151" s="41">
        <f t="shared" si="11"/>
        <v>2.7777777777777781E-7</v>
      </c>
    </row>
    <row r="152" spans="1:21" s="41" customFormat="1">
      <c r="A152" s="41">
        <v>2026</v>
      </c>
      <c r="B152" s="41" t="s">
        <v>167</v>
      </c>
      <c r="D152" s="41" t="s">
        <v>8</v>
      </c>
      <c r="E152" s="41" t="s">
        <v>130</v>
      </c>
      <c r="F152" s="41">
        <v>0</v>
      </c>
      <c r="G152" s="41" t="s">
        <v>131</v>
      </c>
      <c r="H152" s="41">
        <v>3600</v>
      </c>
      <c r="I152" s="41" t="s">
        <v>132</v>
      </c>
      <c r="J152" s="48">
        <v>86.9</v>
      </c>
      <c r="K152" s="41" t="s">
        <v>59</v>
      </c>
      <c r="L152" s="41">
        <v>3.4</v>
      </c>
      <c r="P152" s="41" t="s">
        <v>130</v>
      </c>
      <c r="Q152" s="41" t="s">
        <v>78</v>
      </c>
      <c r="S152" s="41" t="s">
        <v>164</v>
      </c>
      <c r="T152" s="41" t="s">
        <v>144</v>
      </c>
      <c r="U152" s="41">
        <f t="shared" si="11"/>
        <v>2.7777777777777781E-7</v>
      </c>
    </row>
    <row r="153" spans="1:21" s="41" customFormat="1">
      <c r="A153" s="41">
        <v>2027</v>
      </c>
      <c r="B153" s="41" t="s">
        <v>167</v>
      </c>
      <c r="D153" s="41" t="s">
        <v>8</v>
      </c>
      <c r="E153" s="41" t="s">
        <v>130</v>
      </c>
      <c r="F153" s="41">
        <v>0</v>
      </c>
      <c r="G153" s="41" t="s">
        <v>131</v>
      </c>
      <c r="H153" s="41">
        <v>3600</v>
      </c>
      <c r="I153" s="41" t="s">
        <v>132</v>
      </c>
      <c r="J153" s="48">
        <v>85.4</v>
      </c>
      <c r="K153" s="41" t="s">
        <v>59</v>
      </c>
      <c r="L153" s="41">
        <v>3.4</v>
      </c>
      <c r="P153" s="41" t="s">
        <v>130</v>
      </c>
      <c r="Q153" s="41" t="s">
        <v>78</v>
      </c>
      <c r="S153" s="41" t="s">
        <v>164</v>
      </c>
      <c r="T153" s="41" t="s">
        <v>144</v>
      </c>
      <c r="U153" s="41">
        <f t="shared" si="11"/>
        <v>2.7777777777777781E-7</v>
      </c>
    </row>
    <row r="154" spans="1:21" s="41" customFormat="1">
      <c r="A154" s="41">
        <v>2028</v>
      </c>
      <c r="B154" s="41" t="s">
        <v>167</v>
      </c>
      <c r="D154" s="41" t="s">
        <v>8</v>
      </c>
      <c r="E154" s="41" t="s">
        <v>130</v>
      </c>
      <c r="F154" s="41">
        <v>0</v>
      </c>
      <c r="G154" s="41" t="s">
        <v>131</v>
      </c>
      <c r="H154" s="41">
        <v>3600</v>
      </c>
      <c r="I154" s="41" t="s">
        <v>132</v>
      </c>
      <c r="J154" s="48">
        <v>83.8</v>
      </c>
      <c r="K154" s="41" t="s">
        <v>59</v>
      </c>
      <c r="L154" s="41">
        <v>3.4</v>
      </c>
      <c r="P154" s="41" t="s">
        <v>130</v>
      </c>
      <c r="Q154" s="41" t="s">
        <v>78</v>
      </c>
      <c r="S154" s="41" t="s">
        <v>164</v>
      </c>
      <c r="T154" s="41" t="s">
        <v>144</v>
      </c>
      <c r="U154" s="41">
        <f t="shared" si="11"/>
        <v>2.7777777777777781E-7</v>
      </c>
    </row>
    <row r="155" spans="1:21" s="41" customFormat="1">
      <c r="A155" s="41">
        <v>2029</v>
      </c>
      <c r="B155" s="41" t="s">
        <v>167</v>
      </c>
      <c r="D155" s="41" t="s">
        <v>8</v>
      </c>
      <c r="E155" s="41" t="s">
        <v>130</v>
      </c>
      <c r="F155" s="41">
        <v>0</v>
      </c>
      <c r="G155" s="41" t="s">
        <v>131</v>
      </c>
      <c r="H155" s="41">
        <v>3600</v>
      </c>
      <c r="I155" s="41" t="s">
        <v>132</v>
      </c>
      <c r="J155" s="48">
        <v>79.099999999999994</v>
      </c>
      <c r="K155" s="41" t="s">
        <v>59</v>
      </c>
      <c r="L155" s="41">
        <v>3.4</v>
      </c>
      <c r="P155" s="41" t="s">
        <v>130</v>
      </c>
      <c r="Q155" s="41" t="s">
        <v>78</v>
      </c>
      <c r="S155" s="41" t="s">
        <v>164</v>
      </c>
      <c r="T155" s="41" t="s">
        <v>144</v>
      </c>
      <c r="U155" s="41">
        <f t="shared" si="11"/>
        <v>2.7777777777777781E-7</v>
      </c>
    </row>
    <row r="156" spans="1:21" s="41" customFormat="1">
      <c r="A156" s="41">
        <v>2030</v>
      </c>
      <c r="B156" s="41" t="s">
        <v>167</v>
      </c>
      <c r="D156" s="41" t="s">
        <v>8</v>
      </c>
      <c r="E156" s="41" t="s">
        <v>130</v>
      </c>
      <c r="F156" s="41">
        <v>0</v>
      </c>
      <c r="G156" s="41" t="s">
        <v>131</v>
      </c>
      <c r="H156" s="41">
        <v>3600</v>
      </c>
      <c r="I156" s="41" t="s">
        <v>132</v>
      </c>
      <c r="J156" s="48">
        <v>74.400000000000006</v>
      </c>
      <c r="K156" s="41" t="s">
        <v>59</v>
      </c>
      <c r="L156" s="41">
        <v>3.4</v>
      </c>
      <c r="P156" s="41" t="s">
        <v>130</v>
      </c>
      <c r="Q156" s="41" t="s">
        <v>78</v>
      </c>
      <c r="S156" s="41" t="s">
        <v>164</v>
      </c>
      <c r="T156" s="41" t="s">
        <v>144</v>
      </c>
      <c r="U156" s="41">
        <f t="shared" si="11"/>
        <v>2.7777777777777781E-7</v>
      </c>
    </row>
    <row r="157" spans="1:21" s="41" customFormat="1">
      <c r="A157" s="41">
        <v>2031</v>
      </c>
      <c r="B157" s="41" t="s">
        <v>167</v>
      </c>
      <c r="D157" s="41" t="s">
        <v>8</v>
      </c>
      <c r="E157" s="41" t="s">
        <v>130</v>
      </c>
      <c r="F157" s="41">
        <v>0</v>
      </c>
      <c r="G157" s="41" t="s">
        <v>131</v>
      </c>
      <c r="H157" s="41">
        <v>3600</v>
      </c>
      <c r="I157" s="41" t="s">
        <v>132</v>
      </c>
      <c r="J157" s="48">
        <v>71.3</v>
      </c>
      <c r="K157" s="41" t="s">
        <v>59</v>
      </c>
      <c r="L157" s="41">
        <v>3.4</v>
      </c>
      <c r="P157" s="41" t="s">
        <v>130</v>
      </c>
      <c r="Q157" s="41" t="s">
        <v>78</v>
      </c>
      <c r="S157" s="41" t="s">
        <v>164</v>
      </c>
      <c r="T157" s="41" t="s">
        <v>144</v>
      </c>
      <c r="U157" s="41">
        <f t="shared" si="11"/>
        <v>2.7777777777777781E-7</v>
      </c>
    </row>
    <row r="158" spans="1:21" s="41" customFormat="1">
      <c r="A158" s="41">
        <v>2032</v>
      </c>
      <c r="B158" s="41" t="s">
        <v>167</v>
      </c>
      <c r="D158" s="41" t="s">
        <v>8</v>
      </c>
      <c r="E158" s="41" t="s">
        <v>130</v>
      </c>
      <c r="F158" s="41">
        <v>0</v>
      </c>
      <c r="G158" s="41" t="s">
        <v>131</v>
      </c>
      <c r="H158" s="41">
        <v>3600</v>
      </c>
      <c r="I158" s="41" t="s">
        <v>132</v>
      </c>
      <c r="J158" s="48">
        <v>68.3</v>
      </c>
      <c r="K158" s="41" t="s">
        <v>59</v>
      </c>
      <c r="L158" s="41">
        <v>3.4</v>
      </c>
      <c r="P158" s="41" t="s">
        <v>130</v>
      </c>
      <c r="Q158" s="41" t="s">
        <v>78</v>
      </c>
      <c r="S158" s="41" t="s">
        <v>164</v>
      </c>
      <c r="T158" s="41" t="s">
        <v>144</v>
      </c>
      <c r="U158" s="41">
        <f t="shared" si="11"/>
        <v>2.7777777777777781E-7</v>
      </c>
    </row>
    <row r="159" spans="1:21" s="41" customFormat="1">
      <c r="A159" s="41">
        <v>2033</v>
      </c>
      <c r="B159" s="41" t="s">
        <v>167</v>
      </c>
      <c r="D159" s="41" t="s">
        <v>8</v>
      </c>
      <c r="E159" s="41" t="s">
        <v>130</v>
      </c>
      <c r="F159" s="41">
        <v>0</v>
      </c>
      <c r="G159" s="41" t="s">
        <v>131</v>
      </c>
      <c r="H159" s="41">
        <v>3600</v>
      </c>
      <c r="I159" s="41" t="s">
        <v>132</v>
      </c>
      <c r="J159" s="48">
        <v>65.2</v>
      </c>
      <c r="K159" s="41" t="s">
        <v>59</v>
      </c>
      <c r="L159" s="41">
        <v>3.4</v>
      </c>
      <c r="P159" s="41" t="s">
        <v>130</v>
      </c>
      <c r="Q159" s="41" t="s">
        <v>78</v>
      </c>
      <c r="S159" s="41" t="s">
        <v>164</v>
      </c>
      <c r="T159" s="41" t="s">
        <v>144</v>
      </c>
      <c r="U159" s="41">
        <f t="shared" si="11"/>
        <v>2.7777777777777781E-7</v>
      </c>
    </row>
    <row r="160" spans="1:21" s="41" customFormat="1">
      <c r="A160" s="41">
        <v>2034</v>
      </c>
      <c r="B160" s="41" t="s">
        <v>167</v>
      </c>
      <c r="D160" s="41" t="s">
        <v>8</v>
      </c>
      <c r="E160" s="41" t="s">
        <v>130</v>
      </c>
      <c r="F160" s="41">
        <v>0</v>
      </c>
      <c r="G160" s="41" t="s">
        <v>131</v>
      </c>
      <c r="H160" s="41">
        <v>3600</v>
      </c>
      <c r="I160" s="41" t="s">
        <v>132</v>
      </c>
      <c r="J160" s="48">
        <v>62.1</v>
      </c>
      <c r="K160" s="41" t="s">
        <v>59</v>
      </c>
      <c r="L160" s="41">
        <v>3.4</v>
      </c>
      <c r="P160" s="41" t="s">
        <v>130</v>
      </c>
      <c r="Q160" s="41" t="s">
        <v>78</v>
      </c>
      <c r="S160" s="41" t="s">
        <v>164</v>
      </c>
      <c r="T160" s="41" t="s">
        <v>144</v>
      </c>
      <c r="U160" s="41">
        <f t="shared" si="11"/>
        <v>2.7777777777777781E-7</v>
      </c>
    </row>
    <row r="161" spans="1:22" s="41" customFormat="1">
      <c r="A161" s="41">
        <v>2035</v>
      </c>
      <c r="B161" s="41" t="s">
        <v>167</v>
      </c>
      <c r="D161" s="41" t="s">
        <v>8</v>
      </c>
      <c r="E161" s="41" t="s">
        <v>130</v>
      </c>
      <c r="F161" s="41">
        <v>0</v>
      </c>
      <c r="G161" s="41" t="s">
        <v>131</v>
      </c>
      <c r="H161" s="41">
        <v>3600</v>
      </c>
      <c r="I161" s="41" t="s">
        <v>132</v>
      </c>
      <c r="J161" s="48">
        <v>59.1</v>
      </c>
      <c r="K161" s="41" t="s">
        <v>59</v>
      </c>
      <c r="L161" s="41">
        <v>3.4</v>
      </c>
      <c r="P161" s="41" t="s">
        <v>130</v>
      </c>
      <c r="Q161" s="41" t="s">
        <v>78</v>
      </c>
      <c r="S161" s="41" t="s">
        <v>164</v>
      </c>
      <c r="T161" s="41" t="s">
        <v>144</v>
      </c>
      <c r="U161" s="41">
        <f t="shared" si="11"/>
        <v>2.7777777777777781E-7</v>
      </c>
    </row>
    <row r="162" spans="1:22" s="41" customFormat="1">
      <c r="A162" s="41">
        <v>2036</v>
      </c>
      <c r="B162" s="41" t="s">
        <v>167</v>
      </c>
      <c r="D162" s="41" t="s">
        <v>8</v>
      </c>
      <c r="E162" s="41" t="s">
        <v>130</v>
      </c>
      <c r="F162" s="41">
        <v>0</v>
      </c>
      <c r="G162" s="41" t="s">
        <v>131</v>
      </c>
      <c r="H162" s="41">
        <v>3600</v>
      </c>
      <c r="I162" s="41" t="s">
        <v>132</v>
      </c>
      <c r="J162" s="48">
        <v>57.8</v>
      </c>
      <c r="K162" s="41" t="s">
        <v>59</v>
      </c>
      <c r="L162" s="41">
        <v>3.4</v>
      </c>
      <c r="P162" s="41" t="s">
        <v>130</v>
      </c>
      <c r="Q162" s="41" t="s">
        <v>78</v>
      </c>
      <c r="S162" s="41" t="s">
        <v>164</v>
      </c>
      <c r="T162" s="41" t="s">
        <v>144</v>
      </c>
      <c r="U162" s="41">
        <f t="shared" si="11"/>
        <v>2.7777777777777781E-7</v>
      </c>
    </row>
    <row r="163" spans="1:22" s="41" customFormat="1">
      <c r="A163" s="41">
        <v>2037</v>
      </c>
      <c r="B163" s="41" t="s">
        <v>167</v>
      </c>
      <c r="D163" s="41" t="s">
        <v>8</v>
      </c>
      <c r="E163" s="41" t="s">
        <v>130</v>
      </c>
      <c r="F163" s="41">
        <v>0</v>
      </c>
      <c r="G163" s="41" t="s">
        <v>131</v>
      </c>
      <c r="H163" s="41">
        <v>3600</v>
      </c>
      <c r="I163" s="41" t="s">
        <v>132</v>
      </c>
      <c r="J163" s="48">
        <v>56.6</v>
      </c>
      <c r="K163" s="41" t="s">
        <v>59</v>
      </c>
      <c r="L163" s="41">
        <v>3.4</v>
      </c>
      <c r="P163" s="41" t="s">
        <v>130</v>
      </c>
      <c r="Q163" s="41" t="s">
        <v>78</v>
      </c>
      <c r="S163" s="41" t="s">
        <v>164</v>
      </c>
      <c r="T163" s="41" t="s">
        <v>144</v>
      </c>
      <c r="U163" s="41">
        <f t="shared" si="11"/>
        <v>2.7777777777777781E-7</v>
      </c>
    </row>
    <row r="164" spans="1:22" s="41" customFormat="1">
      <c r="A164" s="41">
        <v>2038</v>
      </c>
      <c r="B164" s="41" t="s">
        <v>167</v>
      </c>
      <c r="D164" s="41" t="s">
        <v>8</v>
      </c>
      <c r="E164" s="41" t="s">
        <v>130</v>
      </c>
      <c r="F164" s="41">
        <v>0</v>
      </c>
      <c r="G164" s="41" t="s">
        <v>131</v>
      </c>
      <c r="H164" s="41">
        <v>3600</v>
      </c>
      <c r="I164" s="41" t="s">
        <v>132</v>
      </c>
      <c r="J164" s="48">
        <v>55.4</v>
      </c>
      <c r="K164" s="41" t="s">
        <v>59</v>
      </c>
      <c r="L164" s="41">
        <v>3.4</v>
      </c>
      <c r="P164" s="41" t="s">
        <v>130</v>
      </c>
      <c r="Q164" s="41" t="s">
        <v>78</v>
      </c>
      <c r="S164" s="41" t="s">
        <v>164</v>
      </c>
      <c r="T164" s="41" t="s">
        <v>144</v>
      </c>
      <c r="U164" s="41">
        <f t="shared" si="11"/>
        <v>2.7777777777777781E-7</v>
      </c>
    </row>
    <row r="165" spans="1:22" s="41" customFormat="1">
      <c r="A165" s="41">
        <v>2039</v>
      </c>
      <c r="B165" s="41" t="s">
        <v>167</v>
      </c>
      <c r="D165" s="41" t="s">
        <v>8</v>
      </c>
      <c r="E165" s="41" t="s">
        <v>130</v>
      </c>
      <c r="F165" s="41">
        <v>0</v>
      </c>
      <c r="G165" s="41" t="s">
        <v>131</v>
      </c>
      <c r="H165" s="41">
        <v>3600</v>
      </c>
      <c r="I165" s="41" t="s">
        <v>132</v>
      </c>
      <c r="J165" s="48">
        <v>54.2</v>
      </c>
      <c r="K165" s="41" t="s">
        <v>59</v>
      </c>
      <c r="L165" s="41">
        <v>3.4</v>
      </c>
      <c r="P165" s="41" t="s">
        <v>130</v>
      </c>
      <c r="Q165" s="41" t="s">
        <v>78</v>
      </c>
      <c r="S165" s="41" t="s">
        <v>164</v>
      </c>
      <c r="T165" s="41" t="s">
        <v>144</v>
      </c>
      <c r="U165" s="41">
        <f t="shared" si="11"/>
        <v>2.7777777777777781E-7</v>
      </c>
    </row>
    <row r="166" spans="1:22" s="41" customFormat="1">
      <c r="A166" s="41">
        <v>2040</v>
      </c>
      <c r="B166" s="41" t="s">
        <v>167</v>
      </c>
      <c r="D166" s="41" t="s">
        <v>8</v>
      </c>
      <c r="E166" s="41" t="s">
        <v>130</v>
      </c>
      <c r="F166" s="41">
        <v>0</v>
      </c>
      <c r="G166" s="41" t="s">
        <v>131</v>
      </c>
      <c r="H166" s="41">
        <v>3600</v>
      </c>
      <c r="I166" s="41" t="s">
        <v>132</v>
      </c>
      <c r="J166" s="48">
        <v>53</v>
      </c>
      <c r="K166" s="41" t="s">
        <v>59</v>
      </c>
      <c r="L166" s="41">
        <v>3.4</v>
      </c>
      <c r="P166" s="41" t="s">
        <v>130</v>
      </c>
      <c r="Q166" s="41" t="s">
        <v>78</v>
      </c>
      <c r="S166" s="41" t="s">
        <v>164</v>
      </c>
      <c r="T166" s="41" t="s">
        <v>144</v>
      </c>
      <c r="U166" s="41">
        <f t="shared" si="11"/>
        <v>2.7777777777777781E-7</v>
      </c>
    </row>
    <row r="167" spans="1:22" s="41" customFormat="1">
      <c r="A167" s="41">
        <v>2041</v>
      </c>
      <c r="B167" s="41" t="s">
        <v>167</v>
      </c>
      <c r="D167" s="41" t="s">
        <v>8</v>
      </c>
      <c r="E167" s="41" t="s">
        <v>130</v>
      </c>
      <c r="F167" s="41">
        <v>0</v>
      </c>
      <c r="G167" s="41" t="s">
        <v>131</v>
      </c>
      <c r="H167" s="41">
        <v>3600</v>
      </c>
      <c r="I167" s="41" t="s">
        <v>132</v>
      </c>
      <c r="J167" s="48">
        <v>51.8</v>
      </c>
      <c r="K167" s="41" t="s">
        <v>59</v>
      </c>
      <c r="L167" s="41">
        <v>3.4</v>
      </c>
      <c r="P167" s="41" t="s">
        <v>130</v>
      </c>
      <c r="Q167" s="41" t="s">
        <v>78</v>
      </c>
      <c r="S167" s="41" t="s">
        <v>164</v>
      </c>
      <c r="T167" s="41" t="s">
        <v>144</v>
      </c>
      <c r="U167" s="41">
        <f t="shared" si="11"/>
        <v>2.7777777777777781E-7</v>
      </c>
    </row>
    <row r="168" spans="1:22" s="41" customFormat="1">
      <c r="A168" s="41">
        <v>2042</v>
      </c>
      <c r="B168" s="41" t="s">
        <v>167</v>
      </c>
      <c r="D168" s="41" t="s">
        <v>8</v>
      </c>
      <c r="E168" s="41" t="s">
        <v>130</v>
      </c>
      <c r="F168" s="41">
        <v>0</v>
      </c>
      <c r="G168" s="41" t="s">
        <v>131</v>
      </c>
      <c r="H168" s="41">
        <v>3600</v>
      </c>
      <c r="I168" s="41" t="s">
        <v>132</v>
      </c>
      <c r="J168" s="48">
        <v>50.6</v>
      </c>
      <c r="K168" s="41" t="s">
        <v>59</v>
      </c>
      <c r="L168" s="41">
        <v>3.4</v>
      </c>
      <c r="P168" s="41" t="s">
        <v>130</v>
      </c>
      <c r="Q168" s="41" t="s">
        <v>78</v>
      </c>
      <c r="S168" s="41" t="s">
        <v>164</v>
      </c>
      <c r="T168" s="41" t="s">
        <v>144</v>
      </c>
      <c r="U168" s="41">
        <f t="shared" si="11"/>
        <v>2.7777777777777781E-7</v>
      </c>
    </row>
    <row r="169" spans="1:22" s="41" customFormat="1">
      <c r="A169" s="41">
        <v>2043</v>
      </c>
      <c r="B169" s="41" t="s">
        <v>167</v>
      </c>
      <c r="D169" s="41" t="s">
        <v>8</v>
      </c>
      <c r="E169" s="41" t="s">
        <v>130</v>
      </c>
      <c r="F169" s="41">
        <v>0</v>
      </c>
      <c r="G169" s="41" t="s">
        <v>131</v>
      </c>
      <c r="H169" s="41">
        <v>3600</v>
      </c>
      <c r="I169" s="41" t="s">
        <v>132</v>
      </c>
      <c r="J169" s="48">
        <v>49.5</v>
      </c>
      <c r="K169" s="41" t="s">
        <v>59</v>
      </c>
      <c r="L169" s="41">
        <v>3.4</v>
      </c>
      <c r="P169" s="41" t="s">
        <v>130</v>
      </c>
      <c r="Q169" s="41" t="s">
        <v>78</v>
      </c>
      <c r="S169" s="41" t="s">
        <v>164</v>
      </c>
      <c r="T169" s="41" t="s">
        <v>144</v>
      </c>
      <c r="U169" s="41">
        <f t="shared" si="11"/>
        <v>2.7777777777777781E-7</v>
      </c>
    </row>
    <row r="170" spans="1:22" s="41" customFormat="1">
      <c r="A170" s="41">
        <v>2044</v>
      </c>
      <c r="B170" s="41" t="s">
        <v>167</v>
      </c>
      <c r="D170" s="41" t="s">
        <v>8</v>
      </c>
      <c r="E170" s="41" t="s">
        <v>130</v>
      </c>
      <c r="F170" s="41">
        <v>0</v>
      </c>
      <c r="G170" s="41" t="s">
        <v>131</v>
      </c>
      <c r="H170" s="41">
        <v>3600</v>
      </c>
      <c r="I170" s="41" t="s">
        <v>132</v>
      </c>
      <c r="J170" s="48">
        <v>48.3</v>
      </c>
      <c r="K170" s="41" t="s">
        <v>59</v>
      </c>
      <c r="L170" s="41">
        <v>3.4</v>
      </c>
      <c r="P170" s="41" t="s">
        <v>130</v>
      </c>
      <c r="Q170" s="41" t="s">
        <v>78</v>
      </c>
      <c r="S170" s="41" t="s">
        <v>164</v>
      </c>
      <c r="T170" s="41" t="s">
        <v>144</v>
      </c>
      <c r="U170" s="41">
        <f t="shared" si="11"/>
        <v>2.7777777777777781E-7</v>
      </c>
    </row>
    <row r="171" spans="1:22" s="41" customFormat="1">
      <c r="A171" s="41">
        <v>2045</v>
      </c>
      <c r="B171" s="41" t="s">
        <v>167</v>
      </c>
      <c r="D171" s="41" t="s">
        <v>8</v>
      </c>
      <c r="E171" s="41" t="s">
        <v>130</v>
      </c>
      <c r="F171" s="41">
        <v>0</v>
      </c>
      <c r="G171" s="41" t="s">
        <v>131</v>
      </c>
      <c r="H171" s="41">
        <v>3600</v>
      </c>
      <c r="I171" s="41" t="s">
        <v>132</v>
      </c>
      <c r="J171" s="48">
        <v>16.5</v>
      </c>
      <c r="K171" s="41" t="s">
        <v>59</v>
      </c>
      <c r="L171" s="41">
        <v>3.4</v>
      </c>
      <c r="P171" s="41" t="s">
        <v>130</v>
      </c>
      <c r="Q171" s="41" t="s">
        <v>78</v>
      </c>
      <c r="S171" s="41" t="s">
        <v>164</v>
      </c>
      <c r="T171" s="41" t="s">
        <v>144</v>
      </c>
      <c r="U171" s="41">
        <f t="shared" si="11"/>
        <v>2.7777777777777781E-7</v>
      </c>
    </row>
    <row r="172" spans="1:22" s="41" customFormat="1">
      <c r="A172" s="41">
        <v>2022</v>
      </c>
      <c r="B172" s="41" t="s">
        <v>168</v>
      </c>
      <c r="D172" s="46" t="s">
        <v>15</v>
      </c>
      <c r="E172" s="41" t="s">
        <v>15</v>
      </c>
      <c r="F172" s="41">
        <v>1001</v>
      </c>
      <c r="G172" s="41" t="s">
        <v>48</v>
      </c>
      <c r="H172" s="41">
        <v>1</v>
      </c>
      <c r="I172" s="41" t="s">
        <v>49</v>
      </c>
      <c r="J172" s="41">
        <f>-1000000</f>
        <v>-1000000</v>
      </c>
      <c r="K172" s="41" t="s">
        <v>50</v>
      </c>
      <c r="L172" s="41">
        <v>1</v>
      </c>
      <c r="M172" s="41" t="s">
        <v>51</v>
      </c>
      <c r="P172" s="41" t="s">
        <v>168</v>
      </c>
      <c r="Q172" s="41" t="s">
        <v>53</v>
      </c>
      <c r="S172" s="41" t="s">
        <v>168</v>
      </c>
      <c r="T172" s="41" t="s">
        <v>54</v>
      </c>
      <c r="U172" s="41">
        <f>1/1000000</f>
        <v>9.9999999999999995E-7</v>
      </c>
    </row>
    <row r="173" spans="1:22" s="41" customFormat="1">
      <c r="A173" s="41">
        <v>2022</v>
      </c>
      <c r="B173" s="41" t="s">
        <v>169</v>
      </c>
      <c r="D173" s="41" t="s">
        <v>15</v>
      </c>
      <c r="E173" s="41" t="s">
        <v>15</v>
      </c>
      <c r="F173" s="41">
        <v>1001</v>
      </c>
      <c r="G173" s="41" t="s">
        <v>48</v>
      </c>
      <c r="H173" s="41">
        <v>1</v>
      </c>
      <c r="I173" s="41" t="s">
        <v>49</v>
      </c>
      <c r="J173" s="41">
        <f>-1000000</f>
        <v>-1000000</v>
      </c>
      <c r="K173" s="41" t="s">
        <v>50</v>
      </c>
      <c r="L173" s="41">
        <v>1</v>
      </c>
      <c r="M173" s="41" t="s">
        <v>51</v>
      </c>
      <c r="P173" s="41" t="s">
        <v>169</v>
      </c>
      <c r="Q173" s="41" t="s">
        <v>53</v>
      </c>
      <c r="S173" s="41" t="s">
        <v>113</v>
      </c>
      <c r="T173" s="41" t="s">
        <v>54</v>
      </c>
      <c r="U173" s="41">
        <f>1/1000000</f>
        <v>9.9999999999999995E-7</v>
      </c>
    </row>
    <row r="174" spans="1:22" s="41" customFormat="1">
      <c r="A174" s="41">
        <v>2022</v>
      </c>
      <c r="B174" s="41" t="s">
        <v>170</v>
      </c>
      <c r="D174" s="46" t="s">
        <v>15</v>
      </c>
      <c r="E174" s="41" t="s">
        <v>15</v>
      </c>
      <c r="F174" s="41">
        <v>1001</v>
      </c>
      <c r="G174" s="41" t="s">
        <v>48</v>
      </c>
      <c r="H174" s="41">
        <v>1</v>
      </c>
      <c r="I174" s="41" t="s">
        <v>49</v>
      </c>
      <c r="J174" s="41">
        <f>-1000000</f>
        <v>-1000000</v>
      </c>
      <c r="K174" s="41" t="s">
        <v>50</v>
      </c>
      <c r="L174" s="41">
        <v>1</v>
      </c>
      <c r="M174" s="41" t="s">
        <v>51</v>
      </c>
      <c r="P174" s="41" t="s">
        <v>170</v>
      </c>
      <c r="Q174" s="41" t="s">
        <v>53</v>
      </c>
      <c r="S174" s="41" t="s">
        <v>170</v>
      </c>
      <c r="T174" s="41" t="s">
        <v>54</v>
      </c>
      <c r="U174" s="41">
        <f>1/1000000</f>
        <v>9.9999999999999995E-7</v>
      </c>
    </row>
    <row r="175" spans="1:22" s="41" customFormat="1">
      <c r="A175" s="41">
        <v>2022</v>
      </c>
      <c r="B175" s="41" t="s">
        <v>171</v>
      </c>
      <c r="D175" s="46" t="s">
        <v>15</v>
      </c>
      <c r="E175" s="41" t="s">
        <v>15</v>
      </c>
      <c r="F175" s="41">
        <v>1001</v>
      </c>
      <c r="G175" s="41" t="s">
        <v>48</v>
      </c>
      <c r="H175" s="41">
        <v>1</v>
      </c>
      <c r="I175" s="41" t="s">
        <v>49</v>
      </c>
      <c r="J175" s="41">
        <f>-1000000</f>
        <v>-1000000</v>
      </c>
      <c r="K175" s="41" t="s">
        <v>50</v>
      </c>
      <c r="L175" s="41">
        <v>1</v>
      </c>
      <c r="M175" s="41" t="s">
        <v>51</v>
      </c>
      <c r="P175" s="41" t="s">
        <v>171</v>
      </c>
      <c r="Q175" s="41" t="s">
        <v>53</v>
      </c>
      <c r="S175" s="41" t="s">
        <v>171</v>
      </c>
      <c r="T175" s="41" t="s">
        <v>54</v>
      </c>
      <c r="U175" s="41">
        <f>1/1000000</f>
        <v>9.9999999999999995E-7</v>
      </c>
    </row>
    <row r="176" spans="1:22" s="41" customFormat="1">
      <c r="A176" s="41">
        <v>2022</v>
      </c>
      <c r="B176" s="41" t="s">
        <v>20</v>
      </c>
      <c r="C176" s="41" t="s">
        <v>55</v>
      </c>
      <c r="D176" s="41" t="s">
        <v>7</v>
      </c>
      <c r="E176" s="41" t="s">
        <v>56</v>
      </c>
      <c r="F176" s="41">
        <f>872+53</f>
        <v>925</v>
      </c>
      <c r="G176" s="41" t="s">
        <v>57</v>
      </c>
      <c r="H176" s="41">
        <v>38878</v>
      </c>
      <c r="I176" s="41" t="s">
        <v>58</v>
      </c>
      <c r="J176" s="41">
        <f>56+4.78</f>
        <v>60.78</v>
      </c>
      <c r="K176" s="41" t="s">
        <v>59</v>
      </c>
      <c r="L176" s="41">
        <v>1</v>
      </c>
      <c r="M176" s="41" t="s">
        <v>172</v>
      </c>
      <c r="N176" s="41">
        <v>1.7999999999999999E-2</v>
      </c>
      <c r="O176" s="41" t="s">
        <v>61</v>
      </c>
      <c r="P176" s="41" t="s">
        <v>56</v>
      </c>
      <c r="Q176" s="41" t="s">
        <v>70</v>
      </c>
      <c r="S176" s="41" t="s">
        <v>20</v>
      </c>
      <c r="T176" s="41" t="s">
        <v>64</v>
      </c>
      <c r="U176" s="41">
        <f>1/129.65/1000000</f>
        <v>7.713073659853452E-9</v>
      </c>
      <c r="V176" s="41" t="s">
        <v>173</v>
      </c>
    </row>
    <row r="177" spans="1:21" s="41" customFormat="1">
      <c r="A177" s="41">
        <v>2022</v>
      </c>
      <c r="B177" s="41" t="s">
        <v>20</v>
      </c>
      <c r="D177" s="41" t="s">
        <v>7</v>
      </c>
      <c r="E177" s="41" t="s">
        <v>65</v>
      </c>
      <c r="F177" s="41">
        <f>1069+53</f>
        <v>1122</v>
      </c>
      <c r="G177" s="41" t="s">
        <v>57</v>
      </c>
      <c r="H177" s="41">
        <v>37655</v>
      </c>
      <c r="I177" s="41" t="s">
        <v>58</v>
      </c>
      <c r="J177" s="41">
        <f>31+4.78</f>
        <v>35.78</v>
      </c>
      <c r="K177" s="41" t="s">
        <v>59</v>
      </c>
      <c r="L177" s="41">
        <v>1</v>
      </c>
      <c r="M177" s="41" t="s">
        <v>172</v>
      </c>
      <c r="N177" s="41">
        <v>1.7999999999999999E-2</v>
      </c>
      <c r="O177" s="41" t="s">
        <v>61</v>
      </c>
      <c r="P177" s="41" t="s">
        <v>65</v>
      </c>
      <c r="Q177" s="41" t="s">
        <v>70</v>
      </c>
      <c r="S177" s="41" t="s">
        <v>20</v>
      </c>
      <c r="T177" s="41" t="s">
        <v>64</v>
      </c>
      <c r="U177" s="41">
        <f>1/129.65/1000000</f>
        <v>7.713073659853452E-9</v>
      </c>
    </row>
    <row r="178" spans="1:21" s="41" customFormat="1">
      <c r="A178" s="41">
        <v>2022</v>
      </c>
      <c r="B178" s="41" t="s">
        <v>174</v>
      </c>
      <c r="C178" s="41" t="s">
        <v>55</v>
      </c>
      <c r="D178" s="41" t="s">
        <v>4</v>
      </c>
      <c r="E178" s="41" t="s">
        <v>56</v>
      </c>
      <c r="F178" s="41">
        <f>872+53+33</f>
        <v>958</v>
      </c>
      <c r="G178" s="41" t="s">
        <v>57</v>
      </c>
      <c r="H178" s="41">
        <v>38878</v>
      </c>
      <c r="I178" s="41" t="s">
        <v>58</v>
      </c>
      <c r="J178" s="41">
        <v>56</v>
      </c>
      <c r="K178" s="41" t="s">
        <v>59</v>
      </c>
      <c r="L178" s="41">
        <v>1</v>
      </c>
      <c r="M178" s="41" t="s">
        <v>172</v>
      </c>
      <c r="N178" s="41">
        <v>1.9E-2</v>
      </c>
      <c r="O178" s="41" t="s">
        <v>61</v>
      </c>
      <c r="P178" s="41" t="s">
        <v>56</v>
      </c>
      <c r="Q178" s="41" t="s">
        <v>78</v>
      </c>
      <c r="S178" s="41" t="s">
        <v>174</v>
      </c>
      <c r="T178" s="41" t="s">
        <v>64</v>
      </c>
      <c r="U178" s="41">
        <f>1/122.37/1000000</f>
        <v>8.1719375663969923E-9</v>
      </c>
    </row>
    <row r="179" spans="1:21" s="41" customFormat="1">
      <c r="A179" s="41">
        <v>2022</v>
      </c>
      <c r="B179" s="41" t="s">
        <v>174</v>
      </c>
      <c r="D179" s="41" t="s">
        <v>4</v>
      </c>
      <c r="E179" s="41" t="s">
        <v>65</v>
      </c>
      <c r="F179" s="41">
        <f>1069+53+33</f>
        <v>1155</v>
      </c>
      <c r="G179" s="41" t="s">
        <v>57</v>
      </c>
      <c r="H179" s="41">
        <v>37655</v>
      </c>
      <c r="I179" s="41" t="s">
        <v>58</v>
      </c>
      <c r="J179" s="41">
        <v>31</v>
      </c>
      <c r="K179" s="41" t="s">
        <v>59</v>
      </c>
      <c r="L179" s="41">
        <v>1</v>
      </c>
      <c r="M179" s="41" t="s">
        <v>172</v>
      </c>
      <c r="N179" s="41">
        <v>1.9E-2</v>
      </c>
      <c r="O179" s="41" t="s">
        <v>61</v>
      </c>
      <c r="P179" s="41" t="s">
        <v>65</v>
      </c>
      <c r="Q179" s="41" t="s">
        <v>78</v>
      </c>
      <c r="S179" s="41" t="s">
        <v>174</v>
      </c>
      <c r="T179" s="41" t="s">
        <v>64</v>
      </c>
      <c r="U179" s="41">
        <f>1/122.37/1000000</f>
        <v>8.1719375663969923E-9</v>
      </c>
    </row>
    <row r="180" spans="1:21" s="41" customFormat="1">
      <c r="A180" s="41">
        <v>2024</v>
      </c>
      <c r="B180" s="41" t="s">
        <v>175</v>
      </c>
      <c r="C180" s="41" t="s">
        <v>55</v>
      </c>
      <c r="D180" s="41" t="s">
        <v>7</v>
      </c>
      <c r="E180" s="41" t="s">
        <v>73</v>
      </c>
      <c r="F180" s="41">
        <v>10</v>
      </c>
      <c r="G180" s="41" t="s">
        <v>74</v>
      </c>
      <c r="H180" s="41">
        <v>4528</v>
      </c>
      <c r="I180" s="41" t="s">
        <v>75</v>
      </c>
      <c r="J180" s="41">
        <v>100.45</v>
      </c>
      <c r="K180" s="41" t="s">
        <v>59</v>
      </c>
      <c r="L180" s="41">
        <v>1</v>
      </c>
      <c r="M180" s="41" t="s">
        <v>76</v>
      </c>
      <c r="P180" s="41" t="s">
        <v>176</v>
      </c>
      <c r="Q180" s="41" t="s">
        <v>70</v>
      </c>
      <c r="S180" s="41" t="s">
        <v>175</v>
      </c>
      <c r="T180" s="41" t="s">
        <v>64</v>
      </c>
      <c r="U180" s="41">
        <f>1/134.47/1000000</f>
        <v>7.436602959767978E-9</v>
      </c>
    </row>
    <row r="181" spans="1:21" s="41" customFormat="1">
      <c r="A181" s="41">
        <v>2025</v>
      </c>
      <c r="B181" s="41" t="s">
        <v>175</v>
      </c>
      <c r="C181" s="41" t="s">
        <v>55</v>
      </c>
      <c r="D181" s="41" t="s">
        <v>7</v>
      </c>
      <c r="E181" s="41" t="s">
        <v>73</v>
      </c>
      <c r="F181" s="41">
        <v>10</v>
      </c>
      <c r="G181" s="41" t="s">
        <v>74</v>
      </c>
      <c r="H181" s="41">
        <v>4528</v>
      </c>
      <c r="I181" s="41" t="s">
        <v>75</v>
      </c>
      <c r="J181" s="41">
        <v>105.8</v>
      </c>
      <c r="K181" s="41" t="s">
        <v>59</v>
      </c>
      <c r="L181" s="41">
        <v>1</v>
      </c>
      <c r="M181" s="41" t="s">
        <v>76</v>
      </c>
      <c r="P181" s="41" t="s">
        <v>176</v>
      </c>
      <c r="Q181" s="41" t="s">
        <v>70</v>
      </c>
      <c r="S181" s="41" t="s">
        <v>175</v>
      </c>
      <c r="T181" s="41" t="s">
        <v>64</v>
      </c>
      <c r="U181" s="41">
        <v>7.436602959767978E-9</v>
      </c>
    </row>
    <row r="186" spans="1:21">
      <c r="O186" s="2"/>
    </row>
  </sheetData>
  <autoFilter ref="A1:V181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49"/>
  <sheetViews>
    <sheetView zoomScaleNormal="100" workbookViewId="0"/>
  </sheetViews>
  <sheetFormatPr defaultRowHeight="14.45"/>
  <cols>
    <col min="2" max="2" width="18.85546875" bestFit="1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16</v>
      </c>
      <c r="C1" s="1" t="s">
        <v>177</v>
      </c>
      <c r="D1" s="1" t="s">
        <v>178</v>
      </c>
    </row>
    <row r="2" spans="1:4">
      <c r="A2">
        <v>2022</v>
      </c>
      <c r="B2" t="s">
        <v>167</v>
      </c>
      <c r="C2" t="s">
        <v>179</v>
      </c>
      <c r="D2" t="s">
        <v>179</v>
      </c>
    </row>
    <row r="3" spans="1:4">
      <c r="A3">
        <v>2022</v>
      </c>
      <c r="B3" t="s">
        <v>163</v>
      </c>
      <c r="C3" t="s">
        <v>179</v>
      </c>
      <c r="D3" t="s">
        <v>179</v>
      </c>
    </row>
    <row r="4" spans="1:4">
      <c r="A4">
        <f>A2+1</f>
        <v>2023</v>
      </c>
      <c r="B4" t="s">
        <v>167</v>
      </c>
      <c r="C4" t="s">
        <v>179</v>
      </c>
      <c r="D4" t="s">
        <v>179</v>
      </c>
    </row>
    <row r="5" spans="1:4">
      <c r="A5">
        <f t="shared" ref="A5:A59" si="0">A3+1</f>
        <v>2023</v>
      </c>
      <c r="B5" t="s">
        <v>163</v>
      </c>
      <c r="C5" t="s">
        <v>179</v>
      </c>
      <c r="D5" t="s">
        <v>179</v>
      </c>
    </row>
    <row r="6" spans="1:4">
      <c r="A6">
        <f t="shared" si="0"/>
        <v>2024</v>
      </c>
      <c r="B6" t="s">
        <v>167</v>
      </c>
      <c r="C6" t="s">
        <v>179</v>
      </c>
      <c r="D6" t="s">
        <v>179</v>
      </c>
    </row>
    <row r="7" spans="1:4">
      <c r="A7">
        <f t="shared" si="0"/>
        <v>2024</v>
      </c>
      <c r="B7" t="s">
        <v>163</v>
      </c>
      <c r="C7" t="s">
        <v>179</v>
      </c>
      <c r="D7" t="s">
        <v>179</v>
      </c>
    </row>
    <row r="8" spans="1:4">
      <c r="A8">
        <f t="shared" si="0"/>
        <v>2025</v>
      </c>
      <c r="B8" t="s">
        <v>167</v>
      </c>
      <c r="C8" t="s">
        <v>179</v>
      </c>
      <c r="D8" t="s">
        <v>179</v>
      </c>
    </row>
    <row r="9" spans="1:4">
      <c r="A9">
        <f t="shared" si="0"/>
        <v>2025</v>
      </c>
      <c r="B9" t="s">
        <v>163</v>
      </c>
      <c r="C9" t="s">
        <v>179</v>
      </c>
      <c r="D9" t="s">
        <v>179</v>
      </c>
    </row>
    <row r="10" spans="1:4">
      <c r="A10">
        <f t="shared" si="0"/>
        <v>2026</v>
      </c>
      <c r="B10" t="s">
        <v>167</v>
      </c>
      <c r="C10" t="s">
        <v>179</v>
      </c>
      <c r="D10" t="s">
        <v>179</v>
      </c>
    </row>
    <row r="11" spans="1:4">
      <c r="A11">
        <f t="shared" si="0"/>
        <v>2026</v>
      </c>
      <c r="B11" t="s">
        <v>163</v>
      </c>
      <c r="C11" t="s">
        <v>179</v>
      </c>
      <c r="D11" t="s">
        <v>179</v>
      </c>
    </row>
    <row r="12" spans="1:4">
      <c r="A12">
        <f t="shared" si="0"/>
        <v>2027</v>
      </c>
      <c r="B12" t="s">
        <v>167</v>
      </c>
      <c r="C12" t="s">
        <v>179</v>
      </c>
      <c r="D12" t="s">
        <v>179</v>
      </c>
    </row>
    <row r="13" spans="1:4">
      <c r="A13">
        <f t="shared" si="0"/>
        <v>2027</v>
      </c>
      <c r="B13" t="s">
        <v>163</v>
      </c>
      <c r="C13" t="s">
        <v>179</v>
      </c>
      <c r="D13" t="s">
        <v>179</v>
      </c>
    </row>
    <row r="14" spans="1:4">
      <c r="A14">
        <f t="shared" si="0"/>
        <v>2028</v>
      </c>
      <c r="B14" t="s">
        <v>167</v>
      </c>
      <c r="C14" t="s">
        <v>179</v>
      </c>
      <c r="D14" t="s">
        <v>179</v>
      </c>
    </row>
    <row r="15" spans="1:4">
      <c r="A15">
        <f t="shared" si="0"/>
        <v>2028</v>
      </c>
      <c r="B15" t="s">
        <v>163</v>
      </c>
      <c r="C15" t="s">
        <v>179</v>
      </c>
      <c r="D15" t="s">
        <v>179</v>
      </c>
    </row>
    <row r="16" spans="1:4">
      <c r="A16">
        <f t="shared" si="0"/>
        <v>2029</v>
      </c>
      <c r="B16" t="s">
        <v>167</v>
      </c>
      <c r="C16" t="s">
        <v>179</v>
      </c>
      <c r="D16" t="s">
        <v>179</v>
      </c>
    </row>
    <row r="17" spans="1:4">
      <c r="A17">
        <f t="shared" si="0"/>
        <v>2029</v>
      </c>
      <c r="B17" t="s">
        <v>163</v>
      </c>
      <c r="C17" t="s">
        <v>179</v>
      </c>
      <c r="D17" t="s">
        <v>179</v>
      </c>
    </row>
    <row r="18" spans="1:4">
      <c r="A18">
        <f t="shared" si="0"/>
        <v>2030</v>
      </c>
      <c r="B18" t="s">
        <v>167</v>
      </c>
      <c r="C18" t="s">
        <v>179</v>
      </c>
      <c r="D18" t="s">
        <v>179</v>
      </c>
    </row>
    <row r="19" spans="1:4">
      <c r="A19">
        <f t="shared" si="0"/>
        <v>2030</v>
      </c>
      <c r="B19" t="s">
        <v>163</v>
      </c>
      <c r="C19" t="s">
        <v>179</v>
      </c>
      <c r="D19" t="s">
        <v>179</v>
      </c>
    </row>
    <row r="20" spans="1:4">
      <c r="A20">
        <f t="shared" si="0"/>
        <v>2031</v>
      </c>
      <c r="B20" t="s">
        <v>167</v>
      </c>
      <c r="C20" t="s">
        <v>179</v>
      </c>
      <c r="D20" t="s">
        <v>179</v>
      </c>
    </row>
    <row r="21" spans="1:4">
      <c r="A21">
        <f t="shared" si="0"/>
        <v>2031</v>
      </c>
      <c r="B21" t="s">
        <v>163</v>
      </c>
      <c r="C21" t="s">
        <v>179</v>
      </c>
      <c r="D21" t="s">
        <v>179</v>
      </c>
    </row>
    <row r="22" spans="1:4">
      <c r="A22">
        <f t="shared" si="0"/>
        <v>2032</v>
      </c>
      <c r="B22" t="s">
        <v>167</v>
      </c>
      <c r="C22" t="s">
        <v>179</v>
      </c>
      <c r="D22" t="s">
        <v>179</v>
      </c>
    </row>
    <row r="23" spans="1:4">
      <c r="A23">
        <f t="shared" si="0"/>
        <v>2032</v>
      </c>
      <c r="B23" t="s">
        <v>163</v>
      </c>
      <c r="C23" t="s">
        <v>179</v>
      </c>
      <c r="D23" t="s">
        <v>179</v>
      </c>
    </row>
    <row r="24" spans="1:4">
      <c r="A24">
        <f t="shared" si="0"/>
        <v>2033</v>
      </c>
      <c r="B24" t="s">
        <v>167</v>
      </c>
      <c r="C24" t="s">
        <v>179</v>
      </c>
      <c r="D24" t="s">
        <v>179</v>
      </c>
    </row>
    <row r="25" spans="1:4">
      <c r="A25">
        <f t="shared" si="0"/>
        <v>2033</v>
      </c>
      <c r="B25" t="s">
        <v>163</v>
      </c>
      <c r="C25" t="s">
        <v>179</v>
      </c>
      <c r="D25" t="s">
        <v>179</v>
      </c>
    </row>
    <row r="26" spans="1:4">
      <c r="A26">
        <f t="shared" si="0"/>
        <v>2034</v>
      </c>
      <c r="B26" t="s">
        <v>167</v>
      </c>
      <c r="C26" t="s">
        <v>179</v>
      </c>
      <c r="D26" t="s">
        <v>179</v>
      </c>
    </row>
    <row r="27" spans="1:4">
      <c r="A27">
        <f t="shared" si="0"/>
        <v>2034</v>
      </c>
      <c r="B27" t="s">
        <v>163</v>
      </c>
      <c r="C27" t="s">
        <v>179</v>
      </c>
      <c r="D27" t="s">
        <v>179</v>
      </c>
    </row>
    <row r="28" spans="1:4">
      <c r="A28">
        <f t="shared" si="0"/>
        <v>2035</v>
      </c>
      <c r="B28" t="s">
        <v>167</v>
      </c>
      <c r="C28" t="s">
        <v>179</v>
      </c>
      <c r="D28" t="s">
        <v>179</v>
      </c>
    </row>
    <row r="29" spans="1:4">
      <c r="A29">
        <f t="shared" si="0"/>
        <v>2035</v>
      </c>
      <c r="B29" t="s">
        <v>163</v>
      </c>
      <c r="C29" t="s">
        <v>179</v>
      </c>
      <c r="D29" t="s">
        <v>179</v>
      </c>
    </row>
    <row r="30" spans="1:4">
      <c r="A30">
        <f t="shared" si="0"/>
        <v>2036</v>
      </c>
      <c r="B30" t="s">
        <v>167</v>
      </c>
      <c r="C30" t="s">
        <v>179</v>
      </c>
      <c r="D30" t="s">
        <v>179</v>
      </c>
    </row>
    <row r="31" spans="1:4">
      <c r="A31">
        <f t="shared" si="0"/>
        <v>2036</v>
      </c>
      <c r="B31" t="s">
        <v>163</v>
      </c>
      <c r="C31" t="s">
        <v>179</v>
      </c>
      <c r="D31" t="s">
        <v>179</v>
      </c>
    </row>
    <row r="32" spans="1:4">
      <c r="A32">
        <f t="shared" si="0"/>
        <v>2037</v>
      </c>
      <c r="B32" t="s">
        <v>167</v>
      </c>
      <c r="C32" t="s">
        <v>179</v>
      </c>
      <c r="D32" t="s">
        <v>179</v>
      </c>
    </row>
    <row r="33" spans="1:4">
      <c r="A33">
        <f t="shared" si="0"/>
        <v>2037</v>
      </c>
      <c r="B33" t="s">
        <v>163</v>
      </c>
      <c r="C33" t="s">
        <v>179</v>
      </c>
      <c r="D33" t="s">
        <v>179</v>
      </c>
    </row>
    <row r="34" spans="1:4">
      <c r="A34">
        <f t="shared" si="0"/>
        <v>2038</v>
      </c>
      <c r="B34" t="s">
        <v>167</v>
      </c>
      <c r="C34" t="s">
        <v>179</v>
      </c>
      <c r="D34" t="s">
        <v>179</v>
      </c>
    </row>
    <row r="35" spans="1:4">
      <c r="A35">
        <f t="shared" si="0"/>
        <v>2038</v>
      </c>
      <c r="B35" t="s">
        <v>163</v>
      </c>
      <c r="C35" t="s">
        <v>179</v>
      </c>
      <c r="D35" t="s">
        <v>179</v>
      </c>
    </row>
    <row r="36" spans="1:4">
      <c r="A36">
        <f t="shared" si="0"/>
        <v>2039</v>
      </c>
      <c r="B36" t="s">
        <v>167</v>
      </c>
      <c r="C36" t="s">
        <v>179</v>
      </c>
      <c r="D36" t="s">
        <v>179</v>
      </c>
    </row>
    <row r="37" spans="1:4">
      <c r="A37">
        <f t="shared" si="0"/>
        <v>2039</v>
      </c>
      <c r="B37" t="s">
        <v>163</v>
      </c>
      <c r="C37" t="s">
        <v>179</v>
      </c>
      <c r="D37" t="s">
        <v>179</v>
      </c>
    </row>
    <row r="38" spans="1:4">
      <c r="A38">
        <f t="shared" si="0"/>
        <v>2040</v>
      </c>
      <c r="B38" t="s">
        <v>167</v>
      </c>
      <c r="C38" t="s">
        <v>179</v>
      </c>
      <c r="D38" t="s">
        <v>179</v>
      </c>
    </row>
    <row r="39" spans="1:4">
      <c r="A39">
        <f t="shared" si="0"/>
        <v>2040</v>
      </c>
      <c r="B39" t="s">
        <v>163</v>
      </c>
      <c r="C39" t="s">
        <v>179</v>
      </c>
      <c r="D39" t="s">
        <v>179</v>
      </c>
    </row>
    <row r="40" spans="1:4">
      <c r="A40">
        <f t="shared" si="0"/>
        <v>2041</v>
      </c>
      <c r="B40" t="s">
        <v>167</v>
      </c>
      <c r="C40" t="s">
        <v>179</v>
      </c>
      <c r="D40" t="s">
        <v>179</v>
      </c>
    </row>
    <row r="41" spans="1:4">
      <c r="A41">
        <f t="shared" si="0"/>
        <v>2041</v>
      </c>
      <c r="B41" t="s">
        <v>163</v>
      </c>
      <c r="C41" t="s">
        <v>179</v>
      </c>
      <c r="D41" t="s">
        <v>179</v>
      </c>
    </row>
    <row r="42" spans="1:4">
      <c r="A42">
        <f t="shared" si="0"/>
        <v>2042</v>
      </c>
      <c r="B42" t="s">
        <v>167</v>
      </c>
      <c r="C42" t="s">
        <v>179</v>
      </c>
      <c r="D42" t="s">
        <v>179</v>
      </c>
    </row>
    <row r="43" spans="1:4">
      <c r="A43">
        <f t="shared" si="0"/>
        <v>2042</v>
      </c>
      <c r="B43" t="s">
        <v>163</v>
      </c>
      <c r="C43" t="s">
        <v>179</v>
      </c>
      <c r="D43" t="s">
        <v>179</v>
      </c>
    </row>
    <row r="44" spans="1:4">
      <c r="A44">
        <f t="shared" si="0"/>
        <v>2043</v>
      </c>
      <c r="B44" t="s">
        <v>167</v>
      </c>
      <c r="C44" t="s">
        <v>179</v>
      </c>
      <c r="D44" t="s">
        <v>179</v>
      </c>
    </row>
    <row r="45" spans="1:4">
      <c r="A45">
        <f t="shared" si="0"/>
        <v>2043</v>
      </c>
      <c r="B45" t="s">
        <v>163</v>
      </c>
      <c r="C45" t="s">
        <v>179</v>
      </c>
      <c r="D45" t="s">
        <v>179</v>
      </c>
    </row>
    <row r="46" spans="1:4">
      <c r="A46">
        <f t="shared" si="0"/>
        <v>2044</v>
      </c>
      <c r="B46" t="s">
        <v>167</v>
      </c>
      <c r="C46" t="s">
        <v>179</v>
      </c>
      <c r="D46" t="s">
        <v>179</v>
      </c>
    </row>
    <row r="47" spans="1:4">
      <c r="A47">
        <f t="shared" si="0"/>
        <v>2044</v>
      </c>
      <c r="B47" t="s">
        <v>163</v>
      </c>
      <c r="C47" t="s">
        <v>179</v>
      </c>
      <c r="D47" t="s">
        <v>179</v>
      </c>
    </row>
    <row r="48" spans="1:4">
      <c r="A48">
        <f t="shared" si="0"/>
        <v>2045</v>
      </c>
      <c r="B48" t="s">
        <v>167</v>
      </c>
      <c r="C48" t="s">
        <v>179</v>
      </c>
      <c r="D48" t="s">
        <v>179</v>
      </c>
    </row>
    <row r="49" spans="1:6">
      <c r="A49">
        <f t="shared" si="0"/>
        <v>2045</v>
      </c>
      <c r="B49" t="s">
        <v>163</v>
      </c>
      <c r="C49" t="s">
        <v>179</v>
      </c>
      <c r="D49" t="s">
        <v>179</v>
      </c>
    </row>
    <row r="50" spans="1:6">
      <c r="A50">
        <f t="shared" si="0"/>
        <v>2046</v>
      </c>
      <c r="B50" t="s">
        <v>167</v>
      </c>
      <c r="C50" t="s">
        <v>179</v>
      </c>
      <c r="D50" t="s">
        <v>179</v>
      </c>
    </row>
    <row r="51" spans="1:6">
      <c r="A51">
        <f t="shared" si="0"/>
        <v>2046</v>
      </c>
      <c r="B51" t="s">
        <v>163</v>
      </c>
      <c r="C51" t="s">
        <v>179</v>
      </c>
      <c r="D51" t="s">
        <v>179</v>
      </c>
    </row>
    <row r="52" spans="1:6">
      <c r="A52">
        <f t="shared" si="0"/>
        <v>2047</v>
      </c>
      <c r="B52" t="s">
        <v>167</v>
      </c>
      <c r="C52" t="s">
        <v>179</v>
      </c>
      <c r="D52" t="s">
        <v>179</v>
      </c>
    </row>
    <row r="53" spans="1:6">
      <c r="A53">
        <f t="shared" si="0"/>
        <v>2047</v>
      </c>
      <c r="B53" t="s">
        <v>163</v>
      </c>
      <c r="C53" t="s">
        <v>179</v>
      </c>
      <c r="D53" t="s">
        <v>179</v>
      </c>
    </row>
    <row r="54" spans="1:6">
      <c r="A54">
        <f t="shared" si="0"/>
        <v>2048</v>
      </c>
      <c r="B54" t="s">
        <v>167</v>
      </c>
      <c r="C54" t="s">
        <v>179</v>
      </c>
      <c r="D54" t="s">
        <v>179</v>
      </c>
    </row>
    <row r="55" spans="1:6">
      <c r="A55">
        <f t="shared" si="0"/>
        <v>2048</v>
      </c>
      <c r="B55" t="s">
        <v>163</v>
      </c>
      <c r="C55" t="s">
        <v>179</v>
      </c>
      <c r="D55" t="s">
        <v>179</v>
      </c>
    </row>
    <row r="56" spans="1:6">
      <c r="A56">
        <f t="shared" si="0"/>
        <v>2049</v>
      </c>
      <c r="B56" t="s">
        <v>167</v>
      </c>
      <c r="C56" t="s">
        <v>179</v>
      </c>
      <c r="D56" t="s">
        <v>179</v>
      </c>
    </row>
    <row r="57" spans="1:6">
      <c r="A57">
        <f t="shared" si="0"/>
        <v>2049</v>
      </c>
      <c r="B57" t="s">
        <v>163</v>
      </c>
      <c r="C57" t="s">
        <v>179</v>
      </c>
      <c r="D57" t="s">
        <v>179</v>
      </c>
    </row>
    <row r="58" spans="1:6">
      <c r="A58">
        <f t="shared" si="0"/>
        <v>2050</v>
      </c>
      <c r="B58" t="s">
        <v>167</v>
      </c>
      <c r="C58" t="s">
        <v>179</v>
      </c>
      <c r="D58" t="s">
        <v>179</v>
      </c>
    </row>
    <row r="59" spans="1:6">
      <c r="A59">
        <f t="shared" si="0"/>
        <v>2050</v>
      </c>
      <c r="B59" t="s">
        <v>167</v>
      </c>
      <c r="C59" t="s">
        <v>179</v>
      </c>
      <c r="D59" t="s">
        <v>179</v>
      </c>
    </row>
    <row r="60" spans="1:6">
      <c r="A60">
        <v>2022</v>
      </c>
      <c r="B60" t="s">
        <v>20</v>
      </c>
      <c r="C60">
        <f>F60*129.65+1</f>
        <v>180737974442.5</v>
      </c>
      <c r="D60" t="s">
        <v>179</v>
      </c>
      <c r="E60" t="s">
        <v>19</v>
      </c>
      <c r="F60">
        <v>1394045310</v>
      </c>
    </row>
    <row r="61" spans="1:6">
      <c r="A61">
        <v>2022</v>
      </c>
      <c r="B61" t="s">
        <v>150</v>
      </c>
      <c r="C61" t="s">
        <v>179</v>
      </c>
      <c r="D61" t="s">
        <v>179</v>
      </c>
    </row>
    <row r="62" spans="1:6">
      <c r="A62">
        <v>2022</v>
      </c>
      <c r="B62" t="s">
        <v>141</v>
      </c>
      <c r="C62" t="s">
        <v>179</v>
      </c>
      <c r="D62" t="s">
        <v>179</v>
      </c>
    </row>
    <row r="63" spans="1:6">
      <c r="A63">
        <f>A61+1</f>
        <v>2023</v>
      </c>
      <c r="B63" t="str">
        <f>B61</f>
        <v>HDV-e (grid)</v>
      </c>
      <c r="C63" t="str">
        <f>C61</f>
        <v>inf</v>
      </c>
      <c r="D63" t="s">
        <v>179</v>
      </c>
    </row>
    <row r="64" spans="1:6">
      <c r="A64">
        <f t="shared" ref="A64:A108" si="1">A62+1</f>
        <v>2023</v>
      </c>
      <c r="B64" t="str">
        <f t="shared" ref="B64:C79" si="2">B62</f>
        <v>HDV-e (0-CI)</v>
      </c>
      <c r="C64" t="str">
        <f t="shared" si="2"/>
        <v>inf</v>
      </c>
      <c r="D64" t="s">
        <v>179</v>
      </c>
    </row>
    <row r="65" spans="1:4">
      <c r="A65">
        <f t="shared" si="1"/>
        <v>2024</v>
      </c>
      <c r="B65" t="str">
        <f t="shared" si="2"/>
        <v>HDV-e (grid)</v>
      </c>
      <c r="C65" t="str">
        <f t="shared" si="2"/>
        <v>inf</v>
      </c>
      <c r="D65" t="s">
        <v>179</v>
      </c>
    </row>
    <row r="66" spans="1:4">
      <c r="A66">
        <f t="shared" si="1"/>
        <v>2024</v>
      </c>
      <c r="B66" t="str">
        <f t="shared" si="2"/>
        <v>HDV-e (0-CI)</v>
      </c>
      <c r="C66" t="str">
        <f t="shared" si="2"/>
        <v>inf</v>
      </c>
      <c r="D66" t="s">
        <v>179</v>
      </c>
    </row>
    <row r="67" spans="1:4">
      <c r="A67">
        <f t="shared" si="1"/>
        <v>2025</v>
      </c>
      <c r="B67" t="str">
        <f t="shared" si="2"/>
        <v>HDV-e (grid)</v>
      </c>
      <c r="C67" t="str">
        <f t="shared" si="2"/>
        <v>inf</v>
      </c>
      <c r="D67" t="s">
        <v>179</v>
      </c>
    </row>
    <row r="68" spans="1:4">
      <c r="A68">
        <f t="shared" si="1"/>
        <v>2025</v>
      </c>
      <c r="B68" t="str">
        <f t="shared" si="2"/>
        <v>HDV-e (0-CI)</v>
      </c>
      <c r="C68" t="str">
        <f t="shared" si="2"/>
        <v>inf</v>
      </c>
      <c r="D68" t="s">
        <v>179</v>
      </c>
    </row>
    <row r="69" spans="1:4">
      <c r="A69">
        <f t="shared" si="1"/>
        <v>2026</v>
      </c>
      <c r="B69" t="str">
        <f t="shared" si="2"/>
        <v>HDV-e (grid)</v>
      </c>
      <c r="C69" t="str">
        <f t="shared" si="2"/>
        <v>inf</v>
      </c>
      <c r="D69" t="s">
        <v>179</v>
      </c>
    </row>
    <row r="70" spans="1:4">
      <c r="A70">
        <f t="shared" si="1"/>
        <v>2026</v>
      </c>
      <c r="B70" t="str">
        <f t="shared" si="2"/>
        <v>HDV-e (0-CI)</v>
      </c>
      <c r="C70" t="str">
        <f t="shared" si="2"/>
        <v>inf</v>
      </c>
      <c r="D70" t="s">
        <v>179</v>
      </c>
    </row>
    <row r="71" spans="1:4">
      <c r="A71">
        <f t="shared" si="1"/>
        <v>2027</v>
      </c>
      <c r="B71" t="str">
        <f t="shared" si="2"/>
        <v>HDV-e (grid)</v>
      </c>
      <c r="C71" t="str">
        <f t="shared" si="2"/>
        <v>inf</v>
      </c>
      <c r="D71" t="s">
        <v>179</v>
      </c>
    </row>
    <row r="72" spans="1:4">
      <c r="A72">
        <f t="shared" si="1"/>
        <v>2027</v>
      </c>
      <c r="B72" t="str">
        <f t="shared" si="2"/>
        <v>HDV-e (0-CI)</v>
      </c>
      <c r="C72" t="str">
        <f t="shared" si="2"/>
        <v>inf</v>
      </c>
      <c r="D72" t="s">
        <v>179</v>
      </c>
    </row>
    <row r="73" spans="1:4">
      <c r="A73">
        <f t="shared" si="1"/>
        <v>2028</v>
      </c>
      <c r="B73" t="str">
        <f t="shared" si="2"/>
        <v>HDV-e (grid)</v>
      </c>
      <c r="C73" t="str">
        <f t="shared" si="2"/>
        <v>inf</v>
      </c>
      <c r="D73" t="s">
        <v>179</v>
      </c>
    </row>
    <row r="74" spans="1:4">
      <c r="A74">
        <f t="shared" si="1"/>
        <v>2028</v>
      </c>
      <c r="B74" t="str">
        <f t="shared" si="2"/>
        <v>HDV-e (0-CI)</v>
      </c>
      <c r="C74" t="str">
        <f t="shared" si="2"/>
        <v>inf</v>
      </c>
      <c r="D74" t="s">
        <v>179</v>
      </c>
    </row>
    <row r="75" spans="1:4">
      <c r="A75">
        <f t="shared" si="1"/>
        <v>2029</v>
      </c>
      <c r="B75" t="str">
        <f t="shared" si="2"/>
        <v>HDV-e (grid)</v>
      </c>
      <c r="C75" t="str">
        <f t="shared" si="2"/>
        <v>inf</v>
      </c>
      <c r="D75" t="s">
        <v>179</v>
      </c>
    </row>
    <row r="76" spans="1:4">
      <c r="A76">
        <f t="shared" si="1"/>
        <v>2029</v>
      </c>
      <c r="B76" t="str">
        <f t="shared" si="2"/>
        <v>HDV-e (0-CI)</v>
      </c>
      <c r="C76" t="str">
        <f t="shared" si="2"/>
        <v>inf</v>
      </c>
      <c r="D76" t="s">
        <v>179</v>
      </c>
    </row>
    <row r="77" spans="1:4">
      <c r="A77">
        <f t="shared" si="1"/>
        <v>2030</v>
      </c>
      <c r="B77" t="str">
        <f t="shared" si="2"/>
        <v>HDV-e (grid)</v>
      </c>
      <c r="C77" t="str">
        <f t="shared" si="2"/>
        <v>inf</v>
      </c>
      <c r="D77" t="s">
        <v>179</v>
      </c>
    </row>
    <row r="78" spans="1:4">
      <c r="A78">
        <f t="shared" si="1"/>
        <v>2030</v>
      </c>
      <c r="B78" t="str">
        <f t="shared" si="2"/>
        <v>HDV-e (0-CI)</v>
      </c>
      <c r="C78" t="str">
        <f t="shared" si="2"/>
        <v>inf</v>
      </c>
      <c r="D78" t="s">
        <v>179</v>
      </c>
    </row>
    <row r="79" spans="1:4">
      <c r="A79">
        <f t="shared" si="1"/>
        <v>2031</v>
      </c>
      <c r="B79" t="str">
        <f t="shared" si="2"/>
        <v>HDV-e (grid)</v>
      </c>
      <c r="C79" t="str">
        <f t="shared" si="2"/>
        <v>inf</v>
      </c>
      <c r="D79" t="s">
        <v>179</v>
      </c>
    </row>
    <row r="80" spans="1:4">
      <c r="A80">
        <f t="shared" si="1"/>
        <v>2031</v>
      </c>
      <c r="B80" t="str">
        <f t="shared" ref="B80:C95" si="3">B78</f>
        <v>HDV-e (0-CI)</v>
      </c>
      <c r="C80" t="str">
        <f t="shared" si="3"/>
        <v>inf</v>
      </c>
      <c r="D80" t="s">
        <v>179</v>
      </c>
    </row>
    <row r="81" spans="1:4">
      <c r="A81">
        <f t="shared" si="1"/>
        <v>2032</v>
      </c>
      <c r="B81" t="str">
        <f t="shared" si="3"/>
        <v>HDV-e (grid)</v>
      </c>
      <c r="C81" t="str">
        <f t="shared" si="3"/>
        <v>inf</v>
      </c>
      <c r="D81" t="s">
        <v>179</v>
      </c>
    </row>
    <row r="82" spans="1:4">
      <c r="A82">
        <f t="shared" si="1"/>
        <v>2032</v>
      </c>
      <c r="B82" t="str">
        <f t="shared" si="3"/>
        <v>HDV-e (0-CI)</v>
      </c>
      <c r="C82" t="str">
        <f t="shared" si="3"/>
        <v>inf</v>
      </c>
      <c r="D82" t="s">
        <v>179</v>
      </c>
    </row>
    <row r="83" spans="1:4">
      <c r="A83">
        <f t="shared" si="1"/>
        <v>2033</v>
      </c>
      <c r="B83" t="str">
        <f t="shared" si="3"/>
        <v>HDV-e (grid)</v>
      </c>
      <c r="C83" t="str">
        <f t="shared" si="3"/>
        <v>inf</v>
      </c>
      <c r="D83" t="s">
        <v>179</v>
      </c>
    </row>
    <row r="84" spans="1:4">
      <c r="A84">
        <f t="shared" si="1"/>
        <v>2033</v>
      </c>
      <c r="B84" t="str">
        <f t="shared" si="3"/>
        <v>HDV-e (0-CI)</v>
      </c>
      <c r="C84" t="str">
        <f t="shared" si="3"/>
        <v>inf</v>
      </c>
      <c r="D84" t="s">
        <v>179</v>
      </c>
    </row>
    <row r="85" spans="1:4">
      <c r="A85">
        <f t="shared" si="1"/>
        <v>2034</v>
      </c>
      <c r="B85" t="str">
        <f t="shared" si="3"/>
        <v>HDV-e (grid)</v>
      </c>
      <c r="C85" t="str">
        <f t="shared" si="3"/>
        <v>inf</v>
      </c>
      <c r="D85" t="s">
        <v>179</v>
      </c>
    </row>
    <row r="86" spans="1:4">
      <c r="A86">
        <f t="shared" si="1"/>
        <v>2034</v>
      </c>
      <c r="B86" t="str">
        <f t="shared" si="3"/>
        <v>HDV-e (0-CI)</v>
      </c>
      <c r="C86" t="str">
        <f t="shared" si="3"/>
        <v>inf</v>
      </c>
      <c r="D86" t="s">
        <v>179</v>
      </c>
    </row>
    <row r="87" spans="1:4">
      <c r="A87">
        <f t="shared" si="1"/>
        <v>2035</v>
      </c>
      <c r="B87" t="str">
        <f t="shared" si="3"/>
        <v>HDV-e (grid)</v>
      </c>
      <c r="C87" t="str">
        <f t="shared" si="3"/>
        <v>inf</v>
      </c>
      <c r="D87" t="s">
        <v>179</v>
      </c>
    </row>
    <row r="88" spans="1:4">
      <c r="A88">
        <f t="shared" si="1"/>
        <v>2035</v>
      </c>
      <c r="B88" t="str">
        <f t="shared" si="3"/>
        <v>HDV-e (0-CI)</v>
      </c>
      <c r="C88" t="str">
        <f t="shared" si="3"/>
        <v>inf</v>
      </c>
      <c r="D88" t="s">
        <v>179</v>
      </c>
    </row>
    <row r="89" spans="1:4">
      <c r="A89">
        <f t="shared" si="1"/>
        <v>2036</v>
      </c>
      <c r="B89" t="str">
        <f t="shared" si="3"/>
        <v>HDV-e (grid)</v>
      </c>
      <c r="C89" t="str">
        <f t="shared" si="3"/>
        <v>inf</v>
      </c>
      <c r="D89" t="s">
        <v>179</v>
      </c>
    </row>
    <row r="90" spans="1:4">
      <c r="A90">
        <f t="shared" si="1"/>
        <v>2036</v>
      </c>
      <c r="B90" t="str">
        <f t="shared" si="3"/>
        <v>HDV-e (0-CI)</v>
      </c>
      <c r="C90" t="str">
        <f t="shared" si="3"/>
        <v>inf</v>
      </c>
      <c r="D90" t="s">
        <v>179</v>
      </c>
    </row>
    <row r="91" spans="1:4">
      <c r="A91">
        <f t="shared" si="1"/>
        <v>2037</v>
      </c>
      <c r="B91" t="str">
        <f t="shared" si="3"/>
        <v>HDV-e (grid)</v>
      </c>
      <c r="C91" t="str">
        <f t="shared" si="3"/>
        <v>inf</v>
      </c>
      <c r="D91" t="s">
        <v>179</v>
      </c>
    </row>
    <row r="92" spans="1:4">
      <c r="A92">
        <f t="shared" si="1"/>
        <v>2037</v>
      </c>
      <c r="B92" t="str">
        <f t="shared" si="3"/>
        <v>HDV-e (0-CI)</v>
      </c>
      <c r="C92" t="str">
        <f t="shared" si="3"/>
        <v>inf</v>
      </c>
      <c r="D92" t="s">
        <v>179</v>
      </c>
    </row>
    <row r="93" spans="1:4">
      <c r="A93">
        <f t="shared" si="1"/>
        <v>2038</v>
      </c>
      <c r="B93" t="str">
        <f t="shared" si="3"/>
        <v>HDV-e (grid)</v>
      </c>
      <c r="C93" t="str">
        <f t="shared" si="3"/>
        <v>inf</v>
      </c>
      <c r="D93" t="s">
        <v>179</v>
      </c>
    </row>
    <row r="94" spans="1:4">
      <c r="A94">
        <f t="shared" si="1"/>
        <v>2038</v>
      </c>
      <c r="B94" t="str">
        <f t="shared" si="3"/>
        <v>HDV-e (0-CI)</v>
      </c>
      <c r="C94" t="str">
        <f t="shared" si="3"/>
        <v>inf</v>
      </c>
      <c r="D94" t="s">
        <v>179</v>
      </c>
    </row>
    <row r="95" spans="1:4">
      <c r="A95">
        <f t="shared" si="1"/>
        <v>2039</v>
      </c>
      <c r="B95" t="str">
        <f t="shared" si="3"/>
        <v>HDV-e (grid)</v>
      </c>
      <c r="C95" t="str">
        <f t="shared" si="3"/>
        <v>inf</v>
      </c>
      <c r="D95" t="s">
        <v>179</v>
      </c>
    </row>
    <row r="96" spans="1:4">
      <c r="A96">
        <f t="shared" si="1"/>
        <v>2039</v>
      </c>
      <c r="B96" t="str">
        <f t="shared" ref="B96:C108" si="4">B94</f>
        <v>HDV-e (0-CI)</v>
      </c>
      <c r="C96" t="str">
        <f t="shared" si="4"/>
        <v>inf</v>
      </c>
      <c r="D96" t="s">
        <v>179</v>
      </c>
    </row>
    <row r="97" spans="1:6">
      <c r="A97">
        <f t="shared" si="1"/>
        <v>2040</v>
      </c>
      <c r="B97" t="str">
        <f t="shared" si="4"/>
        <v>HDV-e (grid)</v>
      </c>
      <c r="C97" t="str">
        <f t="shared" si="4"/>
        <v>inf</v>
      </c>
      <c r="D97" t="s">
        <v>179</v>
      </c>
    </row>
    <row r="98" spans="1:6">
      <c r="A98">
        <f t="shared" si="1"/>
        <v>2040</v>
      </c>
      <c r="B98" t="str">
        <f t="shared" si="4"/>
        <v>HDV-e (0-CI)</v>
      </c>
      <c r="C98" t="str">
        <f t="shared" si="4"/>
        <v>inf</v>
      </c>
      <c r="D98" t="s">
        <v>179</v>
      </c>
    </row>
    <row r="99" spans="1:6">
      <c r="A99">
        <f t="shared" si="1"/>
        <v>2041</v>
      </c>
      <c r="B99" t="str">
        <f t="shared" si="4"/>
        <v>HDV-e (grid)</v>
      </c>
      <c r="C99" t="str">
        <f t="shared" si="4"/>
        <v>inf</v>
      </c>
      <c r="D99" t="s">
        <v>179</v>
      </c>
    </row>
    <row r="100" spans="1:6">
      <c r="A100">
        <f t="shared" si="1"/>
        <v>2041</v>
      </c>
      <c r="B100" t="str">
        <f t="shared" si="4"/>
        <v>HDV-e (0-CI)</v>
      </c>
      <c r="C100" t="str">
        <f t="shared" si="4"/>
        <v>inf</v>
      </c>
      <c r="D100" t="s">
        <v>179</v>
      </c>
    </row>
    <row r="101" spans="1:6">
      <c r="A101">
        <f t="shared" si="1"/>
        <v>2042</v>
      </c>
      <c r="B101" t="str">
        <f t="shared" si="4"/>
        <v>HDV-e (grid)</v>
      </c>
      <c r="C101" t="str">
        <f t="shared" si="4"/>
        <v>inf</v>
      </c>
      <c r="D101" t="s">
        <v>179</v>
      </c>
    </row>
    <row r="102" spans="1:6">
      <c r="A102">
        <f t="shared" si="1"/>
        <v>2042</v>
      </c>
      <c r="B102" t="str">
        <f t="shared" si="4"/>
        <v>HDV-e (0-CI)</v>
      </c>
      <c r="C102" t="str">
        <f t="shared" si="4"/>
        <v>inf</v>
      </c>
      <c r="D102" t="s">
        <v>179</v>
      </c>
    </row>
    <row r="103" spans="1:6">
      <c r="A103">
        <f t="shared" si="1"/>
        <v>2043</v>
      </c>
      <c r="B103" t="str">
        <f t="shared" si="4"/>
        <v>HDV-e (grid)</v>
      </c>
      <c r="C103" t="str">
        <f t="shared" si="4"/>
        <v>inf</v>
      </c>
      <c r="D103" t="s">
        <v>179</v>
      </c>
    </row>
    <row r="104" spans="1:6">
      <c r="A104">
        <f t="shared" si="1"/>
        <v>2043</v>
      </c>
      <c r="B104" t="str">
        <f t="shared" si="4"/>
        <v>HDV-e (0-CI)</v>
      </c>
      <c r="C104" t="str">
        <f t="shared" si="4"/>
        <v>inf</v>
      </c>
      <c r="D104" t="s">
        <v>179</v>
      </c>
    </row>
    <row r="105" spans="1:6">
      <c r="A105">
        <f t="shared" si="1"/>
        <v>2044</v>
      </c>
      <c r="B105" t="str">
        <f t="shared" si="4"/>
        <v>HDV-e (grid)</v>
      </c>
      <c r="C105" t="str">
        <f t="shared" si="4"/>
        <v>inf</v>
      </c>
      <c r="D105" t="s">
        <v>179</v>
      </c>
    </row>
    <row r="106" spans="1:6">
      <c r="A106">
        <f t="shared" si="1"/>
        <v>2044</v>
      </c>
      <c r="B106" t="str">
        <f t="shared" si="4"/>
        <v>HDV-e (0-CI)</v>
      </c>
      <c r="C106" t="str">
        <f t="shared" si="4"/>
        <v>inf</v>
      </c>
      <c r="D106" t="s">
        <v>179</v>
      </c>
    </row>
    <row r="107" spans="1:6">
      <c r="A107">
        <f t="shared" si="1"/>
        <v>2045</v>
      </c>
      <c r="B107" t="str">
        <f t="shared" si="4"/>
        <v>HDV-e (grid)</v>
      </c>
      <c r="C107" t="str">
        <f t="shared" si="4"/>
        <v>inf</v>
      </c>
      <c r="D107" t="s">
        <v>179</v>
      </c>
    </row>
    <row r="108" spans="1:6">
      <c r="A108">
        <f t="shared" si="1"/>
        <v>2045</v>
      </c>
      <c r="B108" t="str">
        <f t="shared" si="4"/>
        <v>HDV-e (0-CI)</v>
      </c>
      <c r="C108" t="str">
        <f t="shared" si="4"/>
        <v>inf</v>
      </c>
      <c r="D108" t="s">
        <v>179</v>
      </c>
    </row>
    <row r="109" spans="1:6">
      <c r="A109">
        <v>2022</v>
      </c>
      <c r="B109" t="s">
        <v>18</v>
      </c>
      <c r="C109">
        <f>F109*126.13+1</f>
        <v>35463211158.709999</v>
      </c>
      <c r="D109" s="3" t="s">
        <v>179</v>
      </c>
      <c r="E109" t="s">
        <v>180</v>
      </c>
      <c r="F109">
        <v>281163967</v>
      </c>
    </row>
    <row r="110" spans="1:6">
      <c r="A110">
        <v>2023</v>
      </c>
      <c r="B110" t="s">
        <v>18</v>
      </c>
      <c r="C110">
        <f>C109</f>
        <v>35463211158.709999</v>
      </c>
      <c r="D110" s="3" t="s">
        <v>179</v>
      </c>
      <c r="E110" t="s">
        <v>181</v>
      </c>
    </row>
    <row r="111" spans="1:6">
      <c r="A111">
        <v>2024</v>
      </c>
      <c r="B111" t="s">
        <v>18</v>
      </c>
      <c r="C111">
        <f t="shared" ref="C111:C133" si="5">C110</f>
        <v>35463211158.709999</v>
      </c>
      <c r="D111" s="3" t="s">
        <v>179</v>
      </c>
    </row>
    <row r="112" spans="1:6">
      <c r="A112">
        <v>2025</v>
      </c>
      <c r="B112" t="s">
        <v>18</v>
      </c>
      <c r="C112">
        <f t="shared" si="5"/>
        <v>35463211158.709999</v>
      </c>
      <c r="D112" s="3" t="s">
        <v>179</v>
      </c>
    </row>
    <row r="113" spans="1:4">
      <c r="A113">
        <v>2026</v>
      </c>
      <c r="B113" t="s">
        <v>18</v>
      </c>
      <c r="C113">
        <f t="shared" si="5"/>
        <v>35463211158.709999</v>
      </c>
      <c r="D113" s="3" t="s">
        <v>179</v>
      </c>
    </row>
    <row r="114" spans="1:4">
      <c r="A114">
        <v>2027</v>
      </c>
      <c r="B114" t="s">
        <v>18</v>
      </c>
      <c r="C114">
        <f t="shared" si="5"/>
        <v>35463211158.709999</v>
      </c>
      <c r="D114" s="3" t="s">
        <v>179</v>
      </c>
    </row>
    <row r="115" spans="1:4">
      <c r="A115">
        <v>2028</v>
      </c>
      <c r="B115" t="s">
        <v>18</v>
      </c>
      <c r="C115">
        <f t="shared" si="5"/>
        <v>35463211158.709999</v>
      </c>
      <c r="D115" s="3" t="s">
        <v>179</v>
      </c>
    </row>
    <row r="116" spans="1:4">
      <c r="A116">
        <v>2029</v>
      </c>
      <c r="B116" t="s">
        <v>18</v>
      </c>
      <c r="C116">
        <f t="shared" si="5"/>
        <v>35463211158.709999</v>
      </c>
      <c r="D116" s="3" t="s">
        <v>179</v>
      </c>
    </row>
    <row r="117" spans="1:4">
      <c r="A117">
        <v>2030</v>
      </c>
      <c r="B117" t="s">
        <v>18</v>
      </c>
      <c r="C117">
        <f t="shared" si="5"/>
        <v>35463211158.709999</v>
      </c>
      <c r="D117" s="3" t="s">
        <v>179</v>
      </c>
    </row>
    <row r="118" spans="1:4">
      <c r="A118">
        <v>2031</v>
      </c>
      <c r="B118" t="s">
        <v>18</v>
      </c>
      <c r="C118">
        <f t="shared" si="5"/>
        <v>35463211158.709999</v>
      </c>
      <c r="D118" s="3" t="s">
        <v>179</v>
      </c>
    </row>
    <row r="119" spans="1:4">
      <c r="A119">
        <v>2032</v>
      </c>
      <c r="B119" t="s">
        <v>18</v>
      </c>
      <c r="C119">
        <f t="shared" si="5"/>
        <v>35463211158.709999</v>
      </c>
      <c r="D119" s="3" t="s">
        <v>179</v>
      </c>
    </row>
    <row r="120" spans="1:4">
      <c r="A120">
        <v>2033</v>
      </c>
      <c r="B120" t="s">
        <v>18</v>
      </c>
      <c r="C120">
        <f t="shared" si="5"/>
        <v>35463211158.709999</v>
      </c>
      <c r="D120" s="3" t="s">
        <v>179</v>
      </c>
    </row>
    <row r="121" spans="1:4">
      <c r="A121">
        <v>2034</v>
      </c>
      <c r="B121" t="s">
        <v>18</v>
      </c>
      <c r="C121">
        <f t="shared" si="5"/>
        <v>35463211158.709999</v>
      </c>
      <c r="D121" s="3" t="s">
        <v>179</v>
      </c>
    </row>
    <row r="122" spans="1:4">
      <c r="A122">
        <v>2035</v>
      </c>
      <c r="B122" t="s">
        <v>18</v>
      </c>
      <c r="C122">
        <f t="shared" si="5"/>
        <v>35463211158.709999</v>
      </c>
      <c r="D122" s="3" t="s">
        <v>179</v>
      </c>
    </row>
    <row r="123" spans="1:4">
      <c r="A123">
        <v>2036</v>
      </c>
      <c r="B123" t="s">
        <v>18</v>
      </c>
      <c r="C123">
        <f t="shared" si="5"/>
        <v>35463211158.709999</v>
      </c>
      <c r="D123" s="3" t="s">
        <v>179</v>
      </c>
    </row>
    <row r="124" spans="1:4">
      <c r="A124">
        <v>2037</v>
      </c>
      <c r="B124" t="s">
        <v>18</v>
      </c>
      <c r="C124">
        <f t="shared" si="5"/>
        <v>35463211158.709999</v>
      </c>
      <c r="D124" s="3" t="s">
        <v>179</v>
      </c>
    </row>
    <row r="125" spans="1:4">
      <c r="A125">
        <v>2038</v>
      </c>
      <c r="B125" t="s">
        <v>18</v>
      </c>
      <c r="C125">
        <f t="shared" si="5"/>
        <v>35463211158.709999</v>
      </c>
      <c r="D125" s="3" t="s">
        <v>179</v>
      </c>
    </row>
    <row r="126" spans="1:4">
      <c r="A126">
        <v>2039</v>
      </c>
      <c r="B126" t="s">
        <v>18</v>
      </c>
      <c r="C126">
        <f t="shared" si="5"/>
        <v>35463211158.709999</v>
      </c>
      <c r="D126" s="3" t="s">
        <v>179</v>
      </c>
    </row>
    <row r="127" spans="1:4">
      <c r="A127">
        <v>2040</v>
      </c>
      <c r="B127" t="s">
        <v>18</v>
      </c>
      <c r="C127">
        <f t="shared" si="5"/>
        <v>35463211158.709999</v>
      </c>
      <c r="D127" s="3" t="s">
        <v>179</v>
      </c>
    </row>
    <row r="128" spans="1:4">
      <c r="A128">
        <v>2041</v>
      </c>
      <c r="B128" t="s">
        <v>18</v>
      </c>
      <c r="C128">
        <f t="shared" si="5"/>
        <v>35463211158.709999</v>
      </c>
      <c r="D128" s="3" t="s">
        <v>179</v>
      </c>
    </row>
    <row r="129" spans="1:6">
      <c r="A129">
        <v>2042</v>
      </c>
      <c r="B129" t="s">
        <v>18</v>
      </c>
      <c r="C129">
        <f t="shared" si="5"/>
        <v>35463211158.709999</v>
      </c>
      <c r="D129" s="3" t="s">
        <v>179</v>
      </c>
    </row>
    <row r="130" spans="1:6">
      <c r="A130">
        <v>2043</v>
      </c>
      <c r="B130" t="s">
        <v>18</v>
      </c>
      <c r="C130">
        <f t="shared" si="5"/>
        <v>35463211158.709999</v>
      </c>
      <c r="D130" s="3" t="s">
        <v>179</v>
      </c>
    </row>
    <row r="131" spans="1:6">
      <c r="A131">
        <v>2044</v>
      </c>
      <c r="B131" t="s">
        <v>18</v>
      </c>
      <c r="C131">
        <f t="shared" si="5"/>
        <v>35463211158.709999</v>
      </c>
      <c r="D131" s="3" t="s">
        <v>179</v>
      </c>
    </row>
    <row r="132" spans="1:6">
      <c r="A132">
        <v>2045</v>
      </c>
      <c r="B132" t="s">
        <v>18</v>
      </c>
      <c r="C132">
        <f t="shared" si="5"/>
        <v>35463211158.709999</v>
      </c>
      <c r="D132" s="3" t="s">
        <v>179</v>
      </c>
    </row>
    <row r="133" spans="1:6">
      <c r="A133">
        <v>2046</v>
      </c>
      <c r="B133" t="s">
        <v>18</v>
      </c>
      <c r="C133">
        <f t="shared" si="5"/>
        <v>35463211158.709999</v>
      </c>
      <c r="D133" s="3" t="s">
        <v>179</v>
      </c>
    </row>
    <row r="134" spans="1:6">
      <c r="A134">
        <v>2022</v>
      </c>
      <c r="B134" t="s">
        <v>24</v>
      </c>
      <c r="C134" s="17">
        <f>81.51*F134+1</f>
        <v>8438059473.7000008</v>
      </c>
      <c r="D134" s="3">
        <v>0.4</v>
      </c>
      <c r="E134" t="s">
        <v>180</v>
      </c>
      <c r="F134">
        <v>103521770</v>
      </c>
    </row>
    <row r="135" spans="1:6">
      <c r="A135">
        <v>2025</v>
      </c>
      <c r="B135" t="s">
        <v>24</v>
      </c>
      <c r="C135" s="17">
        <v>15600000000</v>
      </c>
      <c r="D135" s="3">
        <v>0.4</v>
      </c>
    </row>
    <row r="136" spans="1:6">
      <c r="A136">
        <v>2026</v>
      </c>
      <c r="B136" t="s">
        <v>24</v>
      </c>
      <c r="C136" s="17">
        <v>15600000000</v>
      </c>
      <c r="D136" s="3">
        <v>0.4</v>
      </c>
    </row>
    <row r="137" spans="1:6">
      <c r="A137">
        <v>2027</v>
      </c>
      <c r="B137" t="s">
        <v>24</v>
      </c>
      <c r="C137" s="17">
        <v>15600000000</v>
      </c>
      <c r="D137" s="3">
        <v>0.4</v>
      </c>
    </row>
    <row r="138" spans="1:6">
      <c r="A138">
        <v>2028</v>
      </c>
      <c r="B138" t="s">
        <v>24</v>
      </c>
      <c r="C138" s="17">
        <v>15600000000</v>
      </c>
      <c r="D138" s="3">
        <v>0.4</v>
      </c>
    </row>
    <row r="139" spans="1:6">
      <c r="A139">
        <v>2029</v>
      </c>
      <c r="B139" t="s">
        <v>24</v>
      </c>
      <c r="C139" s="17">
        <v>15600000000</v>
      </c>
      <c r="D139" s="3">
        <v>0.4</v>
      </c>
    </row>
    <row r="140" spans="1:6">
      <c r="A140">
        <v>2030</v>
      </c>
      <c r="B140" t="s">
        <v>24</v>
      </c>
      <c r="C140" s="17">
        <v>15600000000</v>
      </c>
      <c r="D140" s="3">
        <v>0.4</v>
      </c>
    </row>
    <row r="141" spans="1:6">
      <c r="A141">
        <v>2031</v>
      </c>
      <c r="B141" t="s">
        <v>24</v>
      </c>
      <c r="C141" s="17">
        <v>15600000000</v>
      </c>
      <c r="D141" s="3">
        <v>0.4</v>
      </c>
    </row>
    <row r="142" spans="1:6">
      <c r="A142">
        <v>2032</v>
      </c>
      <c r="B142" t="s">
        <v>24</v>
      </c>
      <c r="C142" s="17">
        <v>15600000000</v>
      </c>
      <c r="D142" s="3">
        <v>0.4</v>
      </c>
    </row>
    <row r="143" spans="1:6">
      <c r="A143">
        <v>2033</v>
      </c>
      <c r="B143" t="s">
        <v>24</v>
      </c>
      <c r="C143" s="17">
        <v>15600000000</v>
      </c>
      <c r="D143" s="3">
        <v>0.4</v>
      </c>
    </row>
    <row r="144" spans="1:6">
      <c r="A144">
        <v>2034</v>
      </c>
      <c r="B144" t="s">
        <v>24</v>
      </c>
      <c r="C144" s="17">
        <v>15600000000</v>
      </c>
      <c r="D144" s="3">
        <v>0.4</v>
      </c>
    </row>
    <row r="145" spans="1:6">
      <c r="A145">
        <v>2035</v>
      </c>
      <c r="B145" t="s">
        <v>24</v>
      </c>
      <c r="C145" s="17">
        <v>15600000000</v>
      </c>
      <c r="D145" s="3">
        <v>0.4</v>
      </c>
    </row>
    <row r="146" spans="1:6">
      <c r="A146">
        <v>2036</v>
      </c>
      <c r="B146" t="s">
        <v>24</v>
      </c>
      <c r="C146" s="17">
        <v>15600000000</v>
      </c>
      <c r="D146" s="3">
        <v>0.4</v>
      </c>
    </row>
    <row r="147" spans="1:6">
      <c r="A147">
        <v>2037</v>
      </c>
      <c r="B147" t="s">
        <v>24</v>
      </c>
      <c r="C147" s="17">
        <v>15600000000</v>
      </c>
      <c r="D147" s="3">
        <v>0.4</v>
      </c>
    </row>
    <row r="148" spans="1:6">
      <c r="A148">
        <v>2038</v>
      </c>
      <c r="B148" t="s">
        <v>24</v>
      </c>
      <c r="C148" s="17">
        <v>15600000000</v>
      </c>
      <c r="D148" s="3">
        <v>0.4</v>
      </c>
    </row>
    <row r="149" spans="1:6">
      <c r="A149">
        <v>2039</v>
      </c>
      <c r="B149" t="s">
        <v>24</v>
      </c>
      <c r="C149" s="17">
        <v>15600000000</v>
      </c>
      <c r="D149" s="3">
        <v>0.4</v>
      </c>
    </row>
    <row r="150" spans="1:6">
      <c r="A150">
        <v>2040</v>
      </c>
      <c r="B150" t="s">
        <v>24</v>
      </c>
      <c r="C150" s="17">
        <v>15600000000</v>
      </c>
      <c r="D150" s="3">
        <v>0.4</v>
      </c>
    </row>
    <row r="151" spans="1:6">
      <c r="A151">
        <v>2041</v>
      </c>
      <c r="B151" t="s">
        <v>24</v>
      </c>
      <c r="C151" s="17">
        <v>15600000000</v>
      </c>
      <c r="D151" s="3" t="s">
        <v>179</v>
      </c>
    </row>
    <row r="152" spans="1:6">
      <c r="A152">
        <v>2042</v>
      </c>
      <c r="B152" t="s">
        <v>24</v>
      </c>
      <c r="C152" s="17">
        <v>15600000000</v>
      </c>
      <c r="D152" s="3" t="s">
        <v>179</v>
      </c>
    </row>
    <row r="153" spans="1:6">
      <c r="A153">
        <v>2043</v>
      </c>
      <c r="B153" t="s">
        <v>24</v>
      </c>
      <c r="C153" s="17">
        <v>15600000000</v>
      </c>
      <c r="D153" s="3" t="s">
        <v>179</v>
      </c>
    </row>
    <row r="154" spans="1:6">
      <c r="A154">
        <v>2044</v>
      </c>
      <c r="B154" t="s">
        <v>24</v>
      </c>
      <c r="C154" s="17">
        <v>15600000000</v>
      </c>
      <c r="D154" s="3" t="s">
        <v>179</v>
      </c>
    </row>
    <row r="155" spans="1:6">
      <c r="A155">
        <v>2045</v>
      </c>
      <c r="B155" t="s">
        <v>24</v>
      </c>
      <c r="C155" s="17">
        <v>15600000000</v>
      </c>
      <c r="D155" s="3" t="s">
        <v>179</v>
      </c>
    </row>
    <row r="156" spans="1:6">
      <c r="A156">
        <v>2046</v>
      </c>
      <c r="B156" t="s">
        <v>24</v>
      </c>
      <c r="C156" s="17">
        <v>15600000000</v>
      </c>
      <c r="D156" s="3" t="s">
        <v>179</v>
      </c>
    </row>
    <row r="157" spans="1:6">
      <c r="A157">
        <v>2034</v>
      </c>
      <c r="B157" t="s">
        <v>159</v>
      </c>
      <c r="C157" t="s">
        <v>179</v>
      </c>
      <c r="D157" s="3" t="s">
        <v>179</v>
      </c>
    </row>
    <row r="158" spans="1:6">
      <c r="A158">
        <v>2022</v>
      </c>
      <c r="B158" t="s">
        <v>25</v>
      </c>
      <c r="C158" s="32">
        <f>F158*126.37*0.5+1</f>
        <v>733235956.96500003</v>
      </c>
      <c r="D158" s="3" t="s">
        <v>179</v>
      </c>
      <c r="E158" t="s">
        <v>19</v>
      </c>
      <c r="F158" s="17">
        <v>11604589</v>
      </c>
    </row>
    <row r="159" spans="1:6">
      <c r="A159">
        <v>2022</v>
      </c>
      <c r="B159" t="s">
        <v>26</v>
      </c>
      <c r="C159" s="32">
        <f>F158*126.37*0.5+1</f>
        <v>733235956.96500003</v>
      </c>
      <c r="D159" s="3" t="s">
        <v>179</v>
      </c>
      <c r="F159" s="17"/>
    </row>
    <row r="160" spans="1:6">
      <c r="A160">
        <v>2025</v>
      </c>
      <c r="B160" t="s">
        <v>25</v>
      </c>
      <c r="C160">
        <v>7045308714.5799999</v>
      </c>
      <c r="D160" s="3" t="s">
        <v>179</v>
      </c>
      <c r="F160" s="17"/>
    </row>
    <row r="161" spans="1:18">
      <c r="A161">
        <v>2025</v>
      </c>
      <c r="B161" t="s">
        <v>26</v>
      </c>
      <c r="C161">
        <v>7045308714.5799999</v>
      </c>
      <c r="D161" s="3" t="s">
        <v>179</v>
      </c>
      <c r="F161" s="17"/>
    </row>
    <row r="162" spans="1:18">
      <c r="A162">
        <v>2025</v>
      </c>
      <c r="B162" t="s">
        <v>174</v>
      </c>
      <c r="C162" t="s">
        <v>179</v>
      </c>
      <c r="D162" t="s">
        <v>179</v>
      </c>
    </row>
    <row r="163" spans="1:18">
      <c r="A163">
        <v>2041</v>
      </c>
      <c r="B163" t="s">
        <v>23</v>
      </c>
      <c r="C163">
        <f t="shared" ref="C163:C168" si="6">$O$166</f>
        <v>11429950000</v>
      </c>
      <c r="D163" s="3" t="s">
        <v>179</v>
      </c>
    </row>
    <row r="164" spans="1:18">
      <c r="A164">
        <v>2042</v>
      </c>
      <c r="B164" t="s">
        <v>23</v>
      </c>
      <c r="C164">
        <f t="shared" si="6"/>
        <v>11429950000</v>
      </c>
      <c r="D164" s="3" t="s">
        <v>179</v>
      </c>
      <c r="J164" t="s">
        <v>182</v>
      </c>
      <c r="K164" t="s">
        <v>183</v>
      </c>
      <c r="M164" t="s">
        <v>184</v>
      </c>
      <c r="O164" t="s">
        <v>185</v>
      </c>
      <c r="Q164" t="s">
        <v>186</v>
      </c>
      <c r="R164" s="17">
        <f>1055*15*1000000</f>
        <v>15825000000</v>
      </c>
    </row>
    <row r="165" spans="1:18">
      <c r="A165">
        <v>2043</v>
      </c>
      <c r="B165" t="s">
        <v>23</v>
      </c>
      <c r="C165">
        <f t="shared" si="6"/>
        <v>11429950000</v>
      </c>
      <c r="D165" s="3" t="s">
        <v>179</v>
      </c>
      <c r="M165" t="s">
        <v>187</v>
      </c>
      <c r="N165" t="s">
        <v>188</v>
      </c>
      <c r="O165" t="s">
        <v>189</v>
      </c>
      <c r="R165" s="32" t="e">
        <f>#REF!/R164</f>
        <v>#REF!</v>
      </c>
    </row>
    <row r="166" spans="1:18">
      <c r="A166">
        <v>2044</v>
      </c>
      <c r="B166" t="s">
        <v>23</v>
      </c>
      <c r="C166">
        <f t="shared" si="6"/>
        <v>11429950000</v>
      </c>
      <c r="D166" s="3" t="s">
        <v>179</v>
      </c>
      <c r="M166">
        <v>85</v>
      </c>
      <c r="N166">
        <v>134.47</v>
      </c>
      <c r="O166">
        <f>N166*M166*1000000</f>
        <v>11429950000</v>
      </c>
      <c r="P166" s="2"/>
      <c r="R166" s="17">
        <f>2.6*1055*1000000</f>
        <v>2743000000</v>
      </c>
    </row>
    <row r="167" spans="1:18">
      <c r="A167">
        <v>2045</v>
      </c>
      <c r="B167" t="s">
        <v>23</v>
      </c>
      <c r="C167">
        <f t="shared" si="6"/>
        <v>11429950000</v>
      </c>
      <c r="D167" s="3" t="s">
        <v>179</v>
      </c>
    </row>
    <row r="168" spans="1:18">
      <c r="A168">
        <v>2046</v>
      </c>
      <c r="B168" t="s">
        <v>23</v>
      </c>
      <c r="C168">
        <f t="shared" si="6"/>
        <v>11429950000</v>
      </c>
      <c r="D168" s="3" t="s">
        <v>179</v>
      </c>
    </row>
    <row r="169" spans="1:18">
      <c r="A169">
        <v>2041</v>
      </c>
      <c r="B169" t="s">
        <v>152</v>
      </c>
      <c r="C169" s="2">
        <f>$M$170+$M$172*0.4</f>
        <v>22322020000</v>
      </c>
      <c r="D169" s="3" t="s">
        <v>179</v>
      </c>
      <c r="E169" t="s">
        <v>190</v>
      </c>
      <c r="J169" t="s">
        <v>191</v>
      </c>
      <c r="K169" s="20" t="s">
        <v>192</v>
      </c>
      <c r="L169" s="20" t="s">
        <v>193</v>
      </c>
      <c r="M169" s="20" t="s">
        <v>189</v>
      </c>
    </row>
    <row r="170" spans="1:18">
      <c r="A170">
        <v>2042</v>
      </c>
      <c r="B170" t="s">
        <v>152</v>
      </c>
      <c r="C170" s="2">
        <f t="shared" ref="C170:C174" si="7">$M$170+$M$172*0.4</f>
        <v>22322020000</v>
      </c>
      <c r="D170" s="3" t="s">
        <v>179</v>
      </c>
      <c r="E170" t="s">
        <v>190</v>
      </c>
      <c r="K170">
        <v>164</v>
      </c>
      <c r="L170" s="20">
        <f>1/134.47/1000000</f>
        <v>7.436602959767978E-9</v>
      </c>
      <c r="M170" s="20">
        <f>K170/L170</f>
        <v>22053080000</v>
      </c>
    </row>
    <row r="171" spans="1:18">
      <c r="A171">
        <v>2043</v>
      </c>
      <c r="B171" t="s">
        <v>152</v>
      </c>
      <c r="C171" s="2">
        <f t="shared" si="7"/>
        <v>22322020000</v>
      </c>
      <c r="D171" s="3" t="s">
        <v>179</v>
      </c>
      <c r="E171" t="s">
        <v>190</v>
      </c>
      <c r="K171" t="s">
        <v>194</v>
      </c>
    </row>
    <row r="172" spans="1:18">
      <c r="A172">
        <v>2044</v>
      </c>
      <c r="B172" t="s">
        <v>152</v>
      </c>
      <c r="C172" s="2">
        <f t="shared" si="7"/>
        <v>22322020000</v>
      </c>
      <c r="D172" s="3" t="s">
        <v>179</v>
      </c>
      <c r="E172" t="s">
        <v>190</v>
      </c>
      <c r="K172">
        <v>5</v>
      </c>
      <c r="L172" s="20">
        <f>1/134.47/1000000</f>
        <v>7.436602959767978E-9</v>
      </c>
      <c r="M172">
        <f>K172/L172</f>
        <v>672350000</v>
      </c>
    </row>
    <row r="173" spans="1:18">
      <c r="A173">
        <v>2045</v>
      </c>
      <c r="B173" t="s">
        <v>152</v>
      </c>
      <c r="C173" s="2">
        <f t="shared" si="7"/>
        <v>22322020000</v>
      </c>
      <c r="D173" s="3" t="s">
        <v>179</v>
      </c>
      <c r="E173" t="s">
        <v>190</v>
      </c>
    </row>
    <row r="174" spans="1:18">
      <c r="A174">
        <v>2046</v>
      </c>
      <c r="B174" t="s">
        <v>152</v>
      </c>
      <c r="C174" s="2">
        <f t="shared" si="7"/>
        <v>22322020000</v>
      </c>
      <c r="D174" s="3" t="s">
        <v>179</v>
      </c>
      <c r="E174" t="s">
        <v>190</v>
      </c>
    </row>
    <row r="175" spans="1:18">
      <c r="A175">
        <v>2022</v>
      </c>
      <c r="B175" t="s">
        <v>12</v>
      </c>
      <c r="C175" t="s">
        <v>179</v>
      </c>
      <c r="D175" s="3" t="s">
        <v>179</v>
      </c>
    </row>
    <row r="176" spans="1:18">
      <c r="A176">
        <v>2023</v>
      </c>
      <c r="B176" t="s">
        <v>12</v>
      </c>
      <c r="C176" t="s">
        <v>179</v>
      </c>
      <c r="D176" s="3" t="s">
        <v>179</v>
      </c>
    </row>
    <row r="177" spans="1:4">
      <c r="A177">
        <v>2024</v>
      </c>
      <c r="B177" t="s">
        <v>12</v>
      </c>
      <c r="C177" t="s">
        <v>179</v>
      </c>
      <c r="D177" s="3" t="s">
        <v>179</v>
      </c>
    </row>
    <row r="178" spans="1:4">
      <c r="A178">
        <v>2025</v>
      </c>
      <c r="B178" t="s">
        <v>12</v>
      </c>
      <c r="C178" t="s">
        <v>179</v>
      </c>
      <c r="D178" s="3" t="s">
        <v>179</v>
      </c>
    </row>
    <row r="179" spans="1:4">
      <c r="A179">
        <v>2026</v>
      </c>
      <c r="B179" t="s">
        <v>12</v>
      </c>
      <c r="C179" t="s">
        <v>179</v>
      </c>
      <c r="D179" s="3" t="s">
        <v>179</v>
      </c>
    </row>
    <row r="180" spans="1:4">
      <c r="A180">
        <v>2027</v>
      </c>
      <c r="B180" t="s">
        <v>12</v>
      </c>
      <c r="C180" t="s">
        <v>179</v>
      </c>
      <c r="D180" s="3" t="s">
        <v>179</v>
      </c>
    </row>
    <row r="181" spans="1:4">
      <c r="A181">
        <v>2028</v>
      </c>
      <c r="B181" t="s">
        <v>12</v>
      </c>
      <c r="C181" t="s">
        <v>179</v>
      </c>
      <c r="D181" s="3" t="s">
        <v>179</v>
      </c>
    </row>
    <row r="182" spans="1:4">
      <c r="A182">
        <v>2029</v>
      </c>
      <c r="B182" t="s">
        <v>12</v>
      </c>
      <c r="C182" t="s">
        <v>179</v>
      </c>
      <c r="D182" s="3" t="s">
        <v>179</v>
      </c>
    </row>
    <row r="183" spans="1:4">
      <c r="A183">
        <v>2030</v>
      </c>
      <c r="B183" t="s">
        <v>12</v>
      </c>
      <c r="C183" t="s">
        <v>179</v>
      </c>
      <c r="D183" s="3" t="s">
        <v>179</v>
      </c>
    </row>
    <row r="184" spans="1:4">
      <c r="A184">
        <v>2031</v>
      </c>
      <c r="B184" t="s">
        <v>12</v>
      </c>
      <c r="C184" t="s">
        <v>179</v>
      </c>
      <c r="D184" s="3" t="s">
        <v>179</v>
      </c>
    </row>
    <row r="185" spans="1:4">
      <c r="A185">
        <v>2032</v>
      </c>
      <c r="B185" t="s">
        <v>12</v>
      </c>
      <c r="C185" t="s">
        <v>179</v>
      </c>
      <c r="D185" s="3" t="s">
        <v>179</v>
      </c>
    </row>
    <row r="186" spans="1:4">
      <c r="A186">
        <v>2033</v>
      </c>
      <c r="B186" t="s">
        <v>12</v>
      </c>
      <c r="C186" t="s">
        <v>179</v>
      </c>
      <c r="D186" s="3" t="s">
        <v>179</v>
      </c>
    </row>
    <row r="187" spans="1:4">
      <c r="A187">
        <v>2034</v>
      </c>
      <c r="B187" t="s">
        <v>12</v>
      </c>
      <c r="C187" t="s">
        <v>179</v>
      </c>
      <c r="D187" s="3" t="s">
        <v>179</v>
      </c>
    </row>
    <row r="188" spans="1:4">
      <c r="A188">
        <v>2035</v>
      </c>
      <c r="B188" t="s">
        <v>12</v>
      </c>
      <c r="C188" t="s">
        <v>179</v>
      </c>
      <c r="D188" s="3" t="s">
        <v>179</v>
      </c>
    </row>
    <row r="189" spans="1:4">
      <c r="A189">
        <v>2036</v>
      </c>
      <c r="B189" t="s">
        <v>12</v>
      </c>
      <c r="C189" t="s">
        <v>179</v>
      </c>
      <c r="D189" s="3" t="s">
        <v>179</v>
      </c>
    </row>
    <row r="190" spans="1:4">
      <c r="A190">
        <v>2037</v>
      </c>
      <c r="B190" t="s">
        <v>12</v>
      </c>
      <c r="C190" t="s">
        <v>179</v>
      </c>
      <c r="D190" s="3" t="s">
        <v>179</v>
      </c>
    </row>
    <row r="191" spans="1:4">
      <c r="A191">
        <v>2038</v>
      </c>
      <c r="B191" t="s">
        <v>12</v>
      </c>
      <c r="C191" t="s">
        <v>179</v>
      </c>
      <c r="D191" s="3" t="s">
        <v>179</v>
      </c>
    </row>
    <row r="192" spans="1:4">
      <c r="A192">
        <v>2039</v>
      </c>
      <c r="B192" t="s">
        <v>12</v>
      </c>
      <c r="C192" t="s">
        <v>179</v>
      </c>
      <c r="D192" s="3" t="s">
        <v>179</v>
      </c>
    </row>
    <row r="193" spans="1:4">
      <c r="A193">
        <v>2040</v>
      </c>
      <c r="B193" t="s">
        <v>12</v>
      </c>
      <c r="C193" t="s">
        <v>179</v>
      </c>
      <c r="D193" s="3" t="s">
        <v>179</v>
      </c>
    </row>
    <row r="194" spans="1:4">
      <c r="A194">
        <v>2041</v>
      </c>
      <c r="B194" t="s">
        <v>12</v>
      </c>
      <c r="C194" t="s">
        <v>179</v>
      </c>
      <c r="D194" s="3" t="s">
        <v>179</v>
      </c>
    </row>
    <row r="195" spans="1:4">
      <c r="A195">
        <v>2042</v>
      </c>
      <c r="B195" t="s">
        <v>12</v>
      </c>
      <c r="C195" t="s">
        <v>179</v>
      </c>
      <c r="D195" s="3" t="s">
        <v>179</v>
      </c>
    </row>
    <row r="196" spans="1:4">
      <c r="A196">
        <v>2043</v>
      </c>
      <c r="B196" t="s">
        <v>12</v>
      </c>
      <c r="C196" t="s">
        <v>179</v>
      </c>
      <c r="D196" s="3" t="s">
        <v>179</v>
      </c>
    </row>
    <row r="197" spans="1:4">
      <c r="A197">
        <v>2044</v>
      </c>
      <c r="B197" t="s">
        <v>12</v>
      </c>
      <c r="C197" t="s">
        <v>179</v>
      </c>
      <c r="D197" s="3" t="s">
        <v>179</v>
      </c>
    </row>
    <row r="198" spans="1:4">
      <c r="A198">
        <v>2045</v>
      </c>
      <c r="B198" t="s">
        <v>12</v>
      </c>
      <c r="C198" t="s">
        <v>179</v>
      </c>
      <c r="D198" s="3" t="s">
        <v>179</v>
      </c>
    </row>
    <row r="199" spans="1:4">
      <c r="A199">
        <v>2046</v>
      </c>
      <c r="B199" t="s">
        <v>12</v>
      </c>
      <c r="C199" t="s">
        <v>179</v>
      </c>
      <c r="D199" s="3" t="s">
        <v>179</v>
      </c>
    </row>
    <row r="200" spans="1:4">
      <c r="A200">
        <v>2040</v>
      </c>
      <c r="B200" t="s">
        <v>138</v>
      </c>
      <c r="C200" t="s">
        <v>179</v>
      </c>
      <c r="D200" s="3" t="s">
        <v>179</v>
      </c>
    </row>
    <row r="201" spans="1:4">
      <c r="A201">
        <v>2040</v>
      </c>
      <c r="B201" t="s">
        <v>161</v>
      </c>
      <c r="C201" t="s">
        <v>179</v>
      </c>
      <c r="D201" s="3" t="s">
        <v>179</v>
      </c>
    </row>
    <row r="202" spans="1:4">
      <c r="D202" s="3"/>
    </row>
    <row r="203" spans="1:4">
      <c r="D203" s="3"/>
    </row>
    <row r="204" spans="1:4">
      <c r="D204" s="3"/>
    </row>
    <row r="205" spans="1:4">
      <c r="D205" s="3"/>
    </row>
    <row r="206" spans="1:4">
      <c r="D206" s="3"/>
    </row>
    <row r="207" spans="1:4">
      <c r="D207" s="3"/>
    </row>
    <row r="208" spans="1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4"/>
  <sheetViews>
    <sheetView workbookViewId="0">
      <selection activeCell="E36" sqref="E36"/>
    </sheetView>
  </sheetViews>
  <sheetFormatPr defaultRowHeight="14.45"/>
  <cols>
    <col min="1" max="1" width="29.140625" customWidth="1"/>
    <col min="2" max="2" width="17.42578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16</v>
      </c>
      <c r="B1" s="6" t="s">
        <v>195</v>
      </c>
      <c r="C1" s="6" t="s">
        <v>196</v>
      </c>
      <c r="D1" s="6" t="s">
        <v>197</v>
      </c>
      <c r="E1" s="6" t="s">
        <v>28</v>
      </c>
    </row>
    <row r="2" spans="1:5">
      <c r="A2" t="s">
        <v>25</v>
      </c>
      <c r="B2" t="s">
        <v>20</v>
      </c>
      <c r="C2">
        <v>2.5000000000000001E-3</v>
      </c>
      <c r="D2" t="b">
        <v>1</v>
      </c>
      <c r="E2" t="s">
        <v>198</v>
      </c>
    </row>
    <row r="3" spans="1:5">
      <c r="A3" t="s">
        <v>26</v>
      </c>
      <c r="B3" t="s">
        <v>20</v>
      </c>
      <c r="C3">
        <v>2.5000000000000001E-3</v>
      </c>
      <c r="D3" t="b">
        <v>1</v>
      </c>
      <c r="E3" t="s">
        <v>198</v>
      </c>
    </row>
    <row r="4" spans="1:5">
      <c r="A4" t="s">
        <v>174</v>
      </c>
      <c r="B4" t="s">
        <v>20</v>
      </c>
      <c r="C4">
        <v>0.01</v>
      </c>
      <c r="D4" t="b">
        <v>0</v>
      </c>
      <c r="E4" t="s">
        <v>199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3"/>
  <sheetViews>
    <sheetView workbookViewId="0">
      <selection activeCell="O4" sqref="O4"/>
    </sheetView>
  </sheetViews>
  <sheetFormatPr defaultRowHeight="14.4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4" max="14" width="23.5703125" bestFit="1" customWidth="1"/>
  </cols>
  <sheetData>
    <row r="1" spans="1:16">
      <c r="A1" s="1" t="s">
        <v>0</v>
      </c>
      <c r="B1" s="1" t="s">
        <v>40</v>
      </c>
      <c r="C1" s="1" t="s">
        <v>200</v>
      </c>
      <c r="D1" s="1" t="s">
        <v>201</v>
      </c>
      <c r="E1" s="4" t="s">
        <v>202</v>
      </c>
      <c r="F1" s="4" t="s">
        <v>203</v>
      </c>
      <c r="G1" s="9"/>
      <c r="H1" s="9"/>
      <c r="I1" s="9" t="s">
        <v>204</v>
      </c>
      <c r="J1" s="10"/>
      <c r="K1" t="s">
        <v>205</v>
      </c>
    </row>
    <row r="2" spans="1:16">
      <c r="A2">
        <v>2041</v>
      </c>
      <c r="B2" t="s">
        <v>147</v>
      </c>
      <c r="C2" s="7">
        <v>0</v>
      </c>
      <c r="D2" s="2">
        <f>E2</f>
        <v>2889150.1562879994</v>
      </c>
      <c r="E2" s="2">
        <f>(INDEX('LCFS Benchmark'!$C$29:$C$55,MATCH(A2,'LCFS Benchmark'!$A$29:$A$55,0))-$O$2/$O$4)*F2*$O$3*$O$4</f>
        <v>2889150.1562879994</v>
      </c>
      <c r="F2">
        <v>1546</v>
      </c>
      <c r="G2" t="s">
        <v>144</v>
      </c>
      <c r="H2" t="s">
        <v>206</v>
      </c>
      <c r="I2" t="s">
        <v>207</v>
      </c>
      <c r="J2">
        <v>130</v>
      </c>
      <c r="K2" t="s">
        <v>208</v>
      </c>
      <c r="N2" t="s">
        <v>209</v>
      </c>
      <c r="O2">
        <v>-440</v>
      </c>
      <c r="P2" t="s">
        <v>59</v>
      </c>
    </row>
    <row r="3" spans="1:16">
      <c r="A3">
        <v>2042</v>
      </c>
      <c r="B3" t="s">
        <v>147</v>
      </c>
      <c r="C3" s="7">
        <v>0</v>
      </c>
      <c r="D3" s="2">
        <f t="shared" ref="D3:D7" si="0">E3</f>
        <v>2829111.1349759991</v>
      </c>
      <c r="E3" s="2">
        <f>(INDEX('LCFS Benchmark'!$C$29:$C$55,MATCH(A3,'LCFS Benchmark'!$A$29:$A$55,0))-$O$2/$O$4)*F3*$O$3*$O$4</f>
        <v>2829111.1349759991</v>
      </c>
      <c r="F3">
        <v>1546</v>
      </c>
      <c r="G3" t="s">
        <v>144</v>
      </c>
      <c r="I3" t="s">
        <v>210</v>
      </c>
      <c r="J3">
        <v>55</v>
      </c>
      <c r="K3" t="s">
        <v>59</v>
      </c>
      <c r="N3" t="s">
        <v>211</v>
      </c>
      <c r="O3">
        <f>3600000/1000000</f>
        <v>3.6</v>
      </c>
      <c r="P3" t="s">
        <v>212</v>
      </c>
    </row>
    <row r="4" spans="1:16">
      <c r="A4">
        <v>2043</v>
      </c>
      <c r="B4" t="s">
        <v>147</v>
      </c>
      <c r="C4" s="7">
        <v>0</v>
      </c>
      <c r="D4" s="2">
        <f t="shared" si="0"/>
        <v>2769072.1136639994</v>
      </c>
      <c r="E4" s="2">
        <f>(INDEX('LCFS Benchmark'!$C$29:$C$55,MATCH(A4,'LCFS Benchmark'!$A$29:$A$55,0))-$O$2/$O$4)*F4*$O$3*$O$4</f>
        <v>2769072.1136639994</v>
      </c>
      <c r="F4">
        <v>1546</v>
      </c>
      <c r="G4" t="s">
        <v>144</v>
      </c>
      <c r="N4" t="s">
        <v>36</v>
      </c>
      <c r="O4">
        <v>3.4</v>
      </c>
    </row>
    <row r="5" spans="1:16">
      <c r="A5">
        <v>2044</v>
      </c>
      <c r="B5" t="s">
        <v>147</v>
      </c>
      <c r="C5" s="7">
        <v>0</v>
      </c>
      <c r="D5" s="2">
        <f t="shared" si="0"/>
        <v>2709033.0923520001</v>
      </c>
      <c r="E5" s="2">
        <f>(INDEX('LCFS Benchmark'!$C$29:$C$55,MATCH(A5,'LCFS Benchmark'!$A$29:$A$55,0))-$O$2/$O$4)*F5*$O$3*$O$4</f>
        <v>2709033.0923520001</v>
      </c>
      <c r="F5">
        <v>1546</v>
      </c>
      <c r="G5" t="s">
        <v>144</v>
      </c>
      <c r="I5" t="s">
        <v>213</v>
      </c>
      <c r="J5" s="15">
        <f>'[1]LCFS Benchmark'!C34</f>
        <v>86.070906666666659</v>
      </c>
    </row>
    <row r="6" spans="1:16">
      <c r="A6">
        <v>2045</v>
      </c>
      <c r="B6" t="s">
        <v>147</v>
      </c>
      <c r="C6" s="7">
        <v>0</v>
      </c>
      <c r="D6" s="2">
        <f t="shared" si="0"/>
        <v>2648994.0710399994</v>
      </c>
      <c r="E6" s="2">
        <f>(INDEX('LCFS Benchmark'!$C$29:$C$55,MATCH(A6,'LCFS Benchmark'!$A$29:$A$55,0))-$O$2/$O$4)*F6*$O$3*$O$4</f>
        <v>2648994.0710399994</v>
      </c>
      <c r="F6">
        <v>1546</v>
      </c>
      <c r="G6" t="s">
        <v>144</v>
      </c>
      <c r="I6" t="s">
        <v>214</v>
      </c>
      <c r="J6" s="2">
        <f>(J5-J3)*J1*J2</f>
        <v>0</v>
      </c>
      <c r="K6" t="s">
        <v>215</v>
      </c>
      <c r="N6" t="s">
        <v>216</v>
      </c>
      <c r="O6">
        <v>-353</v>
      </c>
      <c r="P6" t="s">
        <v>59</v>
      </c>
    </row>
    <row r="7" spans="1:16">
      <c r="A7">
        <v>2046</v>
      </c>
      <c r="B7" t="s">
        <v>147</v>
      </c>
      <c r="C7" s="7">
        <v>0</v>
      </c>
      <c r="D7" s="2">
        <f t="shared" si="0"/>
        <v>2648994.0710399994</v>
      </c>
      <c r="E7" s="2">
        <f>(INDEX('LCFS Benchmark'!$C$29:$C$55,MATCH(A7,'LCFS Benchmark'!$A$29:$A$55,0))-$O$2/$O$4)*F7*$O$3*$O$4</f>
        <v>2648994.0710399994</v>
      </c>
      <c r="F7">
        <v>1546</v>
      </c>
      <c r="G7" t="s">
        <v>144</v>
      </c>
      <c r="N7" t="s">
        <v>217</v>
      </c>
      <c r="O7">
        <v>120</v>
      </c>
      <c r="P7" t="s">
        <v>218</v>
      </c>
    </row>
    <row r="8" spans="1:16">
      <c r="A8">
        <v>2046</v>
      </c>
      <c r="B8" t="s">
        <v>139</v>
      </c>
      <c r="C8">
        <v>0</v>
      </c>
      <c r="D8" s="2">
        <f>E8</f>
        <v>3995943.3599999989</v>
      </c>
      <c r="E8" s="2">
        <f>(INDEX('[2]LCFS Benchmark'!$C$29:$C$55,MATCH(A8,'[2]LCFS Benchmark'!$A$29:$A$55,0))-$O$6/$O$8)*F8*$O$7*$O$8</f>
        <v>3995943.3599999989</v>
      </c>
      <c r="F8">
        <v>89</v>
      </c>
      <c r="G8" t="s">
        <v>128</v>
      </c>
      <c r="H8" t="s">
        <v>206</v>
      </c>
      <c r="N8" t="s">
        <v>36</v>
      </c>
      <c r="O8">
        <v>2</v>
      </c>
    </row>
    <row r="9" spans="1:16">
      <c r="A9">
        <v>2041</v>
      </c>
      <c r="B9" t="s">
        <v>91</v>
      </c>
      <c r="C9" s="7">
        <v>0</v>
      </c>
      <c r="D9" s="2">
        <f>E9</f>
        <v>1171482.2435904001</v>
      </c>
      <c r="E9" s="2">
        <f>(INDEX('LCFS Benchmark'!$C$29:$C$55,MATCH(A9,'LCFS Benchmark'!$A$29:$A$55,0))-$O$10/$O$12)*F9*$O$11*$O$12</f>
        <v>1171482.2435904001</v>
      </c>
      <c r="F9">
        <f>111*0.25</f>
        <v>27.75</v>
      </c>
      <c r="G9" t="s">
        <v>219</v>
      </c>
      <c r="H9" t="s">
        <v>206</v>
      </c>
    </row>
    <row r="10" spans="1:16">
      <c r="A10">
        <v>2042</v>
      </c>
      <c r="B10" t="s">
        <v>91</v>
      </c>
      <c r="C10" s="7">
        <v>0</v>
      </c>
      <c r="D10" s="2">
        <f t="shared" ref="D10:D14" si="1">E10</f>
        <v>1160826.7493507999</v>
      </c>
      <c r="E10" s="2">
        <f>(INDEX('LCFS Benchmark'!$C$29:$C$55,MATCH(A10,'LCFS Benchmark'!$A$29:$A$55,0))-$O$10/$O$12)*F10*$O$11*$O$12</f>
        <v>1160826.7493507999</v>
      </c>
      <c r="F10">
        <f t="shared" ref="F10:F14" si="2">111*0.25</f>
        <v>27.75</v>
      </c>
      <c r="G10" t="s">
        <v>219</v>
      </c>
      <c r="N10" t="s">
        <v>88</v>
      </c>
      <c r="O10">
        <v>-293</v>
      </c>
      <c r="P10" t="s">
        <v>59</v>
      </c>
    </row>
    <row r="11" spans="1:16">
      <c r="A11">
        <v>2043</v>
      </c>
      <c r="B11" t="s">
        <v>91</v>
      </c>
      <c r="C11" s="7">
        <v>0</v>
      </c>
      <c r="D11" s="2">
        <f t="shared" si="1"/>
        <v>1150171.2551111998</v>
      </c>
      <c r="E11" s="2">
        <f>(INDEX('LCFS Benchmark'!$C$29:$C$55,MATCH(A11,'LCFS Benchmark'!$A$29:$A$55,0))-$O$10/$O$12)*F11*$O$11*$O$12</f>
        <v>1150171.2551111998</v>
      </c>
      <c r="F11">
        <f t="shared" si="2"/>
        <v>27.75</v>
      </c>
      <c r="G11" t="s">
        <v>219</v>
      </c>
      <c r="O11">
        <v>134.47</v>
      </c>
      <c r="P11" t="s">
        <v>218</v>
      </c>
    </row>
    <row r="12" spans="1:16">
      <c r="A12">
        <v>2044</v>
      </c>
      <c r="B12" t="s">
        <v>91</v>
      </c>
      <c r="C12" s="7">
        <v>0</v>
      </c>
      <c r="D12" s="2">
        <f t="shared" si="1"/>
        <v>1139515.7608715999</v>
      </c>
      <c r="E12" s="2">
        <f>(INDEX('LCFS Benchmark'!$C$29:$C$55,MATCH(A12,'LCFS Benchmark'!$A$29:$A$55,0))-$O$10/$O$12)*F12*$O$11*$O$12</f>
        <v>1139515.7608715999</v>
      </c>
      <c r="F12">
        <f t="shared" si="2"/>
        <v>27.75</v>
      </c>
      <c r="G12" t="s">
        <v>219</v>
      </c>
      <c r="N12" t="s">
        <v>36</v>
      </c>
      <c r="O12">
        <v>0.9</v>
      </c>
    </row>
    <row r="13" spans="1:16">
      <c r="A13">
        <v>2045</v>
      </c>
      <c r="B13" t="s">
        <v>91</v>
      </c>
      <c r="C13" s="7">
        <v>0</v>
      </c>
      <c r="D13" s="2">
        <f t="shared" si="1"/>
        <v>1128860.2666319998</v>
      </c>
      <c r="E13" s="2">
        <f>(INDEX('LCFS Benchmark'!$C$29:$C$55,MATCH(A13,'LCFS Benchmark'!$A$29:$A$55,0))-$O$10/$O$12)*F13*$O$11*$O$12</f>
        <v>1128860.2666319998</v>
      </c>
      <c r="F13">
        <f t="shared" si="2"/>
        <v>27.75</v>
      </c>
      <c r="G13" t="s">
        <v>219</v>
      </c>
    </row>
    <row r="14" spans="1:16">
      <c r="A14">
        <v>2046</v>
      </c>
      <c r="B14" t="s">
        <v>91</v>
      </c>
      <c r="C14" s="7">
        <v>0</v>
      </c>
      <c r="D14" s="2">
        <f t="shared" si="1"/>
        <v>1128860.2666319998</v>
      </c>
      <c r="E14" s="2">
        <f>(INDEX('LCFS Benchmark'!$C$29:$C$55,MATCH(A14,'LCFS Benchmark'!$A$29:$A$55,0))-$O$10/$O$12)*F14*$O$11*$O$12</f>
        <v>1128860.2666319998</v>
      </c>
      <c r="F14">
        <f t="shared" si="2"/>
        <v>27.75</v>
      </c>
      <c r="G14" t="s">
        <v>219</v>
      </c>
    </row>
    <row r="15" spans="1:16">
      <c r="C15" s="7"/>
      <c r="D15" s="2"/>
      <c r="E15" s="2"/>
    </row>
    <row r="16" spans="1:16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8"/>
    </row>
    <row r="27" spans="3:10">
      <c r="C27" s="7"/>
      <c r="D27" s="2"/>
      <c r="E27" s="2"/>
      <c r="J27" s="18"/>
    </row>
    <row r="28" spans="3:10">
      <c r="C28" s="7"/>
      <c r="D28" s="2"/>
      <c r="E28" s="2"/>
      <c r="J28" s="18"/>
    </row>
    <row r="29" spans="3:10">
      <c r="C29" s="7"/>
      <c r="D29" s="2"/>
      <c r="E29" s="2"/>
      <c r="J29" s="18"/>
    </row>
    <row r="30" spans="3:10">
      <c r="C30" s="7"/>
      <c r="D30" s="2"/>
      <c r="E30" s="2"/>
      <c r="J30" s="18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zoomScaleNormal="100" workbookViewId="0"/>
  </sheetViews>
  <sheetFormatPr defaultRowHeight="14.4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20" max="20" width="19.42578125" bestFit="1" customWidth="1"/>
  </cols>
  <sheetData>
    <row r="1" spans="1:39">
      <c r="A1" s="1" t="s">
        <v>0</v>
      </c>
      <c r="B1" s="1" t="s">
        <v>220</v>
      </c>
      <c r="C1" s="1" t="s">
        <v>221</v>
      </c>
      <c r="D1" s="4" t="s">
        <v>222</v>
      </c>
      <c r="E1" s="4" t="s">
        <v>223</v>
      </c>
      <c r="F1" s="9"/>
      <c r="H1" s="9" t="s">
        <v>224</v>
      </c>
      <c r="I1" s="9" t="s">
        <v>225</v>
      </c>
      <c r="J1" s="9" t="s">
        <v>7</v>
      </c>
      <c r="K1" s="9" t="s">
        <v>226</v>
      </c>
      <c r="L1" s="9" t="s">
        <v>227</v>
      </c>
      <c r="M1" s="9" t="s">
        <v>228</v>
      </c>
      <c r="P1" s="11"/>
    </row>
    <row r="2" spans="1:39">
      <c r="A2">
        <v>2020</v>
      </c>
      <c r="B2" t="s">
        <v>78</v>
      </c>
      <c r="C2" s="15">
        <v>91.98</v>
      </c>
      <c r="D2" s="8">
        <f>ABS((C2-$R$7)/$R$7)</f>
        <v>7.5020112630732036E-2</v>
      </c>
      <c r="E2" s="18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 s="49">
        <v>89.37</v>
      </c>
      <c r="M2">
        <v>89.37</v>
      </c>
    </row>
    <row r="3" spans="1:39">
      <c r="A3">
        <v>2021</v>
      </c>
      <c r="B3" t="s">
        <v>78</v>
      </c>
      <c r="C3" s="15">
        <v>90.74</v>
      </c>
      <c r="D3" s="8">
        <f t="shared" ref="D3:D5" si="0">ABS((C3-$R$7)/$R$7)</f>
        <v>8.7489943684633975E-2</v>
      </c>
      <c r="E3" s="18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 s="49">
        <v>89.37</v>
      </c>
      <c r="M3">
        <v>89.37</v>
      </c>
      <c r="AE3" s="33"/>
      <c r="AK3" s="33"/>
    </row>
    <row r="4" spans="1:39">
      <c r="A4">
        <v>2022</v>
      </c>
      <c r="B4" t="s">
        <v>78</v>
      </c>
      <c r="C4" s="15">
        <v>89.5</v>
      </c>
      <c r="D4" s="8">
        <f t="shared" si="0"/>
        <v>9.9959774738535775E-2</v>
      </c>
      <c r="E4" s="18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 s="49">
        <v>89.37</v>
      </c>
      <c r="M4">
        <v>89.37</v>
      </c>
      <c r="AE4" s="33"/>
      <c r="AF4" s="33"/>
      <c r="AG4" s="33"/>
      <c r="AJ4" s="33"/>
      <c r="AK4" s="33"/>
      <c r="AL4" s="33"/>
      <c r="AM4" s="33"/>
    </row>
    <row r="5" spans="1:39">
      <c r="A5">
        <v>2023</v>
      </c>
      <c r="B5" t="s">
        <v>78</v>
      </c>
      <c r="C5" s="15">
        <v>88.25</v>
      </c>
      <c r="D5" s="8">
        <f t="shared" si="0"/>
        <v>0.11253016894609813</v>
      </c>
      <c r="E5" s="18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 s="49">
        <v>89.15</v>
      </c>
      <c r="M5">
        <v>89.15</v>
      </c>
      <c r="AE5" s="33"/>
      <c r="AF5" s="33"/>
      <c r="AG5" s="33"/>
      <c r="AJ5" s="33"/>
      <c r="AK5" s="33"/>
      <c r="AL5" s="33"/>
      <c r="AM5" s="33"/>
    </row>
    <row r="6" spans="1:39">
      <c r="A6">
        <v>2024</v>
      </c>
      <c r="B6" t="s">
        <v>78</v>
      </c>
      <c r="C6">
        <v>87.01</v>
      </c>
      <c r="D6" s="8">
        <f>ABS((C6-$R$7)/$R$7)</f>
        <v>0.12499999999999993</v>
      </c>
      <c r="E6" s="18">
        <f t="shared" si="1"/>
        <v>0.12499999999999993</v>
      </c>
      <c r="G6">
        <v>2024</v>
      </c>
      <c r="H6">
        <v>87.01</v>
      </c>
      <c r="I6" s="15">
        <f>H6</f>
        <v>87.01</v>
      </c>
      <c r="J6">
        <v>87.89</v>
      </c>
      <c r="K6" s="15">
        <f>J6</f>
        <v>87.89</v>
      </c>
      <c r="L6" s="49">
        <v>87.89</v>
      </c>
      <c r="M6" s="15">
        <f>L6</f>
        <v>87.89</v>
      </c>
      <c r="O6" s="6"/>
      <c r="P6" s="20"/>
      <c r="Q6" s="20" t="s">
        <v>229</v>
      </c>
      <c r="R6" s="20" t="s">
        <v>230</v>
      </c>
      <c r="AD6" s="8"/>
      <c r="AE6" s="33"/>
      <c r="AF6" s="33"/>
      <c r="AG6" s="33"/>
      <c r="AJ6" s="33"/>
      <c r="AK6" s="33"/>
      <c r="AL6" s="33"/>
      <c r="AM6" s="33"/>
    </row>
    <row r="7" spans="1:39">
      <c r="A7">
        <v>2025</v>
      </c>
      <c r="B7" t="s">
        <v>78</v>
      </c>
      <c r="C7" s="15">
        <f>I7</f>
        <v>76.596366251005634</v>
      </c>
      <c r="D7" s="18">
        <f>ABS((C7-$Q$7)/$Q$7)</f>
        <v>0.22746983105390187</v>
      </c>
      <c r="E7" s="18">
        <f t="shared" si="1"/>
        <v>0.13746983105390187</v>
      </c>
      <c r="F7" s="18"/>
      <c r="G7">
        <v>2025</v>
      </c>
      <c r="H7">
        <v>85.77</v>
      </c>
      <c r="I7" s="16">
        <f t="shared" ref="I7:I27" si="2">$Q$7*(1-P13)</f>
        <v>76.596366251005634</v>
      </c>
      <c r="J7">
        <v>86.64</v>
      </c>
      <c r="K7" s="16">
        <f>$Q$8*(1-P13)</f>
        <v>81.70279066773935</v>
      </c>
      <c r="L7">
        <v>86.64</v>
      </c>
      <c r="M7" s="16">
        <f>$Q$9*(1-P13)</f>
        <v>69.087373008849568</v>
      </c>
      <c r="P7" s="20" t="s">
        <v>231</v>
      </c>
      <c r="Q7" s="36">
        <v>99.15</v>
      </c>
      <c r="R7" s="20">
        <v>99.44</v>
      </c>
      <c r="T7" t="s">
        <v>232</v>
      </c>
      <c r="U7" s="18">
        <f>(H7-R7)/R7</f>
        <v>-0.13746983105390187</v>
      </c>
      <c r="AD7" s="8"/>
      <c r="AE7" s="33"/>
      <c r="AF7" s="33"/>
      <c r="AG7" s="33"/>
      <c r="AJ7" s="33"/>
      <c r="AK7" s="33"/>
      <c r="AL7" s="33"/>
      <c r="AM7" s="33"/>
    </row>
    <row r="8" spans="1:39">
      <c r="A8">
        <v>2026</v>
      </c>
      <c r="B8" t="s">
        <v>78</v>
      </c>
      <c r="C8" s="15">
        <f t="shared" ref="C8:C26" si="3">I8</f>
        <v>75.158093000804513</v>
      </c>
      <c r="D8" s="8">
        <f t="shared" ref="D8:D27" si="4">ABS((C8-$Q$7)/$Q$7)</f>
        <v>0.24197586484312145</v>
      </c>
      <c r="E8" s="18">
        <f t="shared" si="1"/>
        <v>0.15004022526146421</v>
      </c>
      <c r="F8" s="18"/>
      <c r="G8">
        <v>2026</v>
      </c>
      <c r="H8">
        <v>84.52</v>
      </c>
      <c r="I8" s="16">
        <f t="shared" si="2"/>
        <v>75.158093000804513</v>
      </c>
      <c r="J8">
        <v>85.38</v>
      </c>
      <c r="K8" s="16">
        <f t="shared" ref="K8:K27" si="5">$Q$8*(1-P14)</f>
        <v>80.168632534191474</v>
      </c>
      <c r="L8">
        <v>85.38</v>
      </c>
      <c r="M8" s="16">
        <f t="shared" ref="M8:M28" si="6">$Q$9*(1-P14)</f>
        <v>67.790098407079654</v>
      </c>
      <c r="P8" s="20" t="s">
        <v>233</v>
      </c>
      <c r="Q8" s="36">
        <v>105.76</v>
      </c>
      <c r="R8" s="20">
        <v>100.45</v>
      </c>
      <c r="T8" t="s">
        <v>234</v>
      </c>
      <c r="U8" s="35">
        <v>0.09</v>
      </c>
      <c r="AD8" s="8"/>
      <c r="AE8" s="33"/>
      <c r="AF8" s="33"/>
      <c r="AG8" s="33"/>
      <c r="AJ8" s="33"/>
      <c r="AK8" s="33"/>
      <c r="AL8" s="33"/>
      <c r="AM8" s="33"/>
    </row>
    <row r="9" spans="1:39">
      <c r="A9">
        <v>2027</v>
      </c>
      <c r="B9" t="s">
        <v>78</v>
      </c>
      <c r="C9" s="15">
        <f t="shared" si="3"/>
        <v>73.719819750603378</v>
      </c>
      <c r="D9" s="8">
        <f t="shared" si="4"/>
        <v>0.25648189863234117</v>
      </c>
      <c r="E9" s="18">
        <f t="shared" si="1"/>
        <v>0.16251005631536602</v>
      </c>
      <c r="F9" s="18"/>
      <c r="G9">
        <v>2027</v>
      </c>
      <c r="H9">
        <v>83.28</v>
      </c>
      <c r="I9" s="16">
        <f t="shared" si="2"/>
        <v>73.719819750603378</v>
      </c>
      <c r="J9">
        <v>84.13</v>
      </c>
      <c r="K9" s="16">
        <f t="shared" si="5"/>
        <v>78.634474400643597</v>
      </c>
      <c r="L9">
        <v>84.13</v>
      </c>
      <c r="M9" s="16">
        <f t="shared" si="6"/>
        <v>66.49282380530974</v>
      </c>
      <c r="P9" s="20" t="s">
        <v>235</v>
      </c>
      <c r="Q9" s="36">
        <v>89.43</v>
      </c>
      <c r="R9" s="20">
        <v>89.37</v>
      </c>
      <c r="T9" s="8" t="s">
        <v>236</v>
      </c>
      <c r="U9" s="31">
        <f>U7-U8</f>
        <v>-0.22746983105390187</v>
      </c>
      <c r="AD9" s="8"/>
      <c r="AE9" s="33"/>
      <c r="AF9" s="33"/>
      <c r="AG9" s="33"/>
      <c r="AJ9" s="33"/>
      <c r="AK9" s="33"/>
      <c r="AL9" s="33"/>
      <c r="AM9" s="33"/>
    </row>
    <row r="10" spans="1:39">
      <c r="A10">
        <v>2028</v>
      </c>
      <c r="B10" t="s">
        <v>78</v>
      </c>
      <c r="C10" s="15">
        <f t="shared" si="3"/>
        <v>72.281546500402257</v>
      </c>
      <c r="D10" s="8">
        <f t="shared" si="4"/>
        <v>0.27098793242156072</v>
      </c>
      <c r="E10" s="18">
        <f t="shared" si="1"/>
        <v>0.17497988736926781</v>
      </c>
      <c r="F10" s="18"/>
      <c r="G10">
        <v>2028</v>
      </c>
      <c r="H10">
        <v>82.04</v>
      </c>
      <c r="I10" s="16">
        <f t="shared" si="2"/>
        <v>72.281546500402257</v>
      </c>
      <c r="J10">
        <v>82.87</v>
      </c>
      <c r="K10" s="16">
        <f t="shared" si="5"/>
        <v>77.100316267095735</v>
      </c>
      <c r="L10">
        <v>82.87</v>
      </c>
      <c r="M10" s="16">
        <f t="shared" si="6"/>
        <v>65.195549203539827</v>
      </c>
      <c r="T10" s="11"/>
      <c r="AD10" s="8"/>
      <c r="AE10" s="33"/>
      <c r="AF10" s="33"/>
      <c r="AG10" s="33"/>
      <c r="AJ10" s="33"/>
      <c r="AK10" s="33"/>
      <c r="AL10" s="33"/>
      <c r="AM10" s="33"/>
    </row>
    <row r="11" spans="1:39">
      <c r="A11">
        <v>2029</v>
      </c>
      <c r="B11" t="s">
        <v>78</v>
      </c>
      <c r="C11" s="15">
        <f t="shared" si="3"/>
        <v>70.843273250201136</v>
      </c>
      <c r="D11" s="8">
        <f t="shared" si="4"/>
        <v>0.28549396621078033</v>
      </c>
      <c r="E11" s="18">
        <f t="shared" si="1"/>
        <v>0.18744971842316976</v>
      </c>
      <c r="F11" s="18"/>
      <c r="G11">
        <v>2029</v>
      </c>
      <c r="H11">
        <v>80.8</v>
      </c>
      <c r="I11" s="16">
        <f t="shared" si="2"/>
        <v>70.843273250201136</v>
      </c>
      <c r="J11">
        <v>81.62</v>
      </c>
      <c r="K11" s="16">
        <f t="shared" si="5"/>
        <v>75.566158133547887</v>
      </c>
      <c r="L11">
        <v>81.62</v>
      </c>
      <c r="M11" s="16">
        <f t="shared" si="6"/>
        <v>63.898274601769927</v>
      </c>
      <c r="T11">
        <f>(0.3+U9)/5</f>
        <v>1.4506033789219625E-2</v>
      </c>
      <c r="AD11" s="8"/>
      <c r="AE11" s="33"/>
      <c r="AF11" s="33"/>
      <c r="AG11" s="33"/>
      <c r="AJ11" s="33"/>
      <c r="AK11" s="33"/>
      <c r="AL11" s="33"/>
      <c r="AM11" s="33"/>
    </row>
    <row r="12" spans="1:39">
      <c r="A12">
        <v>2030</v>
      </c>
      <c r="B12" t="s">
        <v>78</v>
      </c>
      <c r="C12" s="15">
        <f t="shared" si="3"/>
        <v>69.405000000000015</v>
      </c>
      <c r="D12" s="18">
        <f t="shared" si="4"/>
        <v>0.29999999999999988</v>
      </c>
      <c r="E12" s="18">
        <f t="shared" si="1"/>
        <v>0.20002011263073211</v>
      </c>
      <c r="F12" s="18"/>
      <c r="G12">
        <v>2030</v>
      </c>
      <c r="H12">
        <v>79.55</v>
      </c>
      <c r="I12" s="16">
        <f t="shared" si="2"/>
        <v>69.405000000000015</v>
      </c>
      <c r="J12">
        <v>80.36</v>
      </c>
      <c r="K12" s="16">
        <f t="shared" si="5"/>
        <v>74.032000000000011</v>
      </c>
      <c r="L12">
        <v>80.36</v>
      </c>
      <c r="M12" s="16">
        <f t="shared" si="6"/>
        <v>62.601000000000013</v>
      </c>
      <c r="P12" t="s">
        <v>237</v>
      </c>
      <c r="Q12" t="s">
        <v>238</v>
      </c>
      <c r="R12" t="s">
        <v>239</v>
      </c>
      <c r="AD12" s="8"/>
      <c r="AE12" s="33"/>
      <c r="AF12" s="33"/>
      <c r="AG12" s="33"/>
      <c r="AJ12" s="33"/>
      <c r="AK12" s="33"/>
      <c r="AL12" s="33"/>
      <c r="AM12" s="33"/>
    </row>
    <row r="13" spans="1:39">
      <c r="A13">
        <v>2031</v>
      </c>
      <c r="B13" t="s">
        <v>78</v>
      </c>
      <c r="C13" s="15">
        <f t="shared" si="3"/>
        <v>64.943250000000006</v>
      </c>
      <c r="D13" s="8">
        <f t="shared" si="4"/>
        <v>0.34499999999999997</v>
      </c>
      <c r="E13" s="18">
        <f t="shared" si="1"/>
        <v>0.20002011263073211</v>
      </c>
      <c r="F13" s="18"/>
      <c r="G13">
        <v>2031</v>
      </c>
      <c r="H13">
        <v>79.55</v>
      </c>
      <c r="I13" s="16">
        <f t="shared" si="2"/>
        <v>64.943250000000006</v>
      </c>
      <c r="J13">
        <v>80.36</v>
      </c>
      <c r="K13" s="16">
        <f t="shared" si="5"/>
        <v>69.272800000000004</v>
      </c>
      <c r="L13">
        <v>80.36</v>
      </c>
      <c r="M13" s="16">
        <f t="shared" si="6"/>
        <v>58.576650000000008</v>
      </c>
      <c r="O13" s="14">
        <v>2025</v>
      </c>
      <c r="P13" s="19">
        <f>Q13</f>
        <v>0.22746983105390187</v>
      </c>
      <c r="Q13" s="19">
        <f>D6-R13</f>
        <v>0.22746983105390187</v>
      </c>
      <c r="R13" s="19">
        <f>U9+D6</f>
        <v>-0.10246983105390194</v>
      </c>
      <c r="S13" s="19"/>
      <c r="AD13" s="8"/>
      <c r="AE13" s="33"/>
      <c r="AF13" s="33"/>
      <c r="AG13" s="33"/>
      <c r="AJ13" s="33"/>
      <c r="AK13" s="33"/>
      <c r="AL13" s="33"/>
      <c r="AM13" s="33"/>
    </row>
    <row r="14" spans="1:39">
      <c r="A14">
        <v>2032</v>
      </c>
      <c r="B14" t="s">
        <v>78</v>
      </c>
      <c r="C14" s="15">
        <f t="shared" si="3"/>
        <v>60.481500000000011</v>
      </c>
      <c r="D14" s="8">
        <f t="shared" si="4"/>
        <v>0.3899999999999999</v>
      </c>
      <c r="E14" s="18">
        <f t="shared" si="1"/>
        <v>0.20002011263073211</v>
      </c>
      <c r="F14" s="18"/>
      <c r="G14">
        <v>2032</v>
      </c>
      <c r="H14">
        <v>79.55</v>
      </c>
      <c r="I14" s="16">
        <f t="shared" si="2"/>
        <v>60.481500000000011</v>
      </c>
      <c r="J14">
        <v>80.36</v>
      </c>
      <c r="K14" s="16">
        <f t="shared" si="5"/>
        <v>64.513600000000011</v>
      </c>
      <c r="L14">
        <v>80.36</v>
      </c>
      <c r="M14" s="16">
        <f t="shared" si="6"/>
        <v>54.55230000000001</v>
      </c>
      <c r="O14" s="14">
        <v>2026</v>
      </c>
      <c r="P14" s="19">
        <f t="shared" ref="P14:P32" si="7">Q14</f>
        <v>0.2419758648431215</v>
      </c>
      <c r="Q14" s="19">
        <f>Q13+R14</f>
        <v>0.2419758648431215</v>
      </c>
      <c r="R14" s="19">
        <f>$T$11</f>
        <v>1.4506033789219625E-2</v>
      </c>
      <c r="S14" s="19"/>
      <c r="AD14" s="8"/>
      <c r="AE14" s="33"/>
      <c r="AF14" s="33"/>
      <c r="AG14" s="33"/>
      <c r="AJ14" s="33"/>
      <c r="AK14" s="33"/>
      <c r="AL14" s="33"/>
      <c r="AM14" s="33"/>
    </row>
    <row r="15" spans="1:39">
      <c r="A15">
        <v>2033</v>
      </c>
      <c r="B15" t="s">
        <v>78</v>
      </c>
      <c r="C15" s="15">
        <f t="shared" si="3"/>
        <v>56.019750000000023</v>
      </c>
      <c r="D15" s="8">
        <f t="shared" si="4"/>
        <v>0.43499999999999978</v>
      </c>
      <c r="E15" s="18">
        <f t="shared" si="1"/>
        <v>0.20002011263073211</v>
      </c>
      <c r="F15" s="18"/>
      <c r="G15">
        <v>2033</v>
      </c>
      <c r="H15">
        <v>79.55</v>
      </c>
      <c r="I15" s="16">
        <f t="shared" si="2"/>
        <v>56.019750000000023</v>
      </c>
      <c r="J15">
        <v>80.36</v>
      </c>
      <c r="K15" s="16">
        <f t="shared" si="5"/>
        <v>59.754400000000018</v>
      </c>
      <c r="L15">
        <v>80.36</v>
      </c>
      <c r="M15" s="16">
        <f t="shared" si="6"/>
        <v>50.527950000000018</v>
      </c>
      <c r="O15" s="14">
        <v>2027</v>
      </c>
      <c r="P15" s="19">
        <f t="shared" si="7"/>
        <v>0.25648189863234111</v>
      </c>
      <c r="Q15" s="19">
        <f t="shared" ref="Q15:Q18" si="8">Q14+R15</f>
        <v>0.25648189863234111</v>
      </c>
      <c r="R15" s="19">
        <f t="shared" ref="R15:R18" si="9">$T$11</f>
        <v>1.4506033789219625E-2</v>
      </c>
      <c r="S15" s="19"/>
      <c r="AD15" s="8"/>
      <c r="AE15" s="33"/>
      <c r="AF15" s="33"/>
      <c r="AG15" s="33"/>
      <c r="AJ15" s="33"/>
      <c r="AK15" s="33"/>
      <c r="AL15" s="33"/>
      <c r="AM15" s="33"/>
    </row>
    <row r="16" spans="1:39">
      <c r="A16">
        <v>2034</v>
      </c>
      <c r="B16" t="s">
        <v>78</v>
      </c>
      <c r="C16" s="15">
        <f t="shared" si="3"/>
        <v>51.558000000000014</v>
      </c>
      <c r="D16" s="8">
        <f t="shared" si="4"/>
        <v>0.47999999999999987</v>
      </c>
      <c r="E16" s="18">
        <f t="shared" si="1"/>
        <v>0.20002011263073211</v>
      </c>
      <c r="F16" s="18"/>
      <c r="G16">
        <v>2034</v>
      </c>
      <c r="H16">
        <v>79.55</v>
      </c>
      <c r="I16" s="16">
        <f t="shared" si="2"/>
        <v>51.558000000000014</v>
      </c>
      <c r="J16">
        <v>80.36</v>
      </c>
      <c r="K16" s="16">
        <f t="shared" si="5"/>
        <v>54.995200000000018</v>
      </c>
      <c r="L16">
        <v>80.36</v>
      </c>
      <c r="M16" s="16">
        <f t="shared" si="6"/>
        <v>46.503600000000013</v>
      </c>
      <c r="O16" s="14">
        <v>2028</v>
      </c>
      <c r="P16" s="19">
        <f t="shared" si="7"/>
        <v>0.27098793242156072</v>
      </c>
      <c r="Q16" s="19">
        <f t="shared" si="8"/>
        <v>0.27098793242156072</v>
      </c>
      <c r="R16" s="19">
        <f t="shared" si="9"/>
        <v>1.4506033789219625E-2</v>
      </c>
      <c r="S16" s="19"/>
      <c r="AD16" s="8"/>
      <c r="AE16" s="33"/>
      <c r="AF16" s="33"/>
      <c r="AG16" s="33"/>
      <c r="AJ16" s="33"/>
      <c r="AK16" s="33"/>
      <c r="AL16" s="33"/>
      <c r="AM16" s="33"/>
    </row>
    <row r="17" spans="1:39">
      <c r="A17">
        <v>2035</v>
      </c>
      <c r="B17" t="s">
        <v>78</v>
      </c>
      <c r="C17" s="15">
        <f t="shared" si="3"/>
        <v>47.096250000000012</v>
      </c>
      <c r="D17" s="8">
        <f t="shared" si="4"/>
        <v>0.52499999999999991</v>
      </c>
      <c r="E17" s="18">
        <f t="shared" si="1"/>
        <v>0.20002011263073211</v>
      </c>
      <c r="F17" s="18"/>
      <c r="G17">
        <v>2035</v>
      </c>
      <c r="H17">
        <v>79.55</v>
      </c>
      <c r="I17" s="16">
        <f t="shared" si="2"/>
        <v>47.096250000000012</v>
      </c>
      <c r="J17">
        <v>80.36</v>
      </c>
      <c r="K17" s="16">
        <f t="shared" si="5"/>
        <v>50.236000000000011</v>
      </c>
      <c r="L17">
        <v>80.36</v>
      </c>
      <c r="M17" s="16">
        <f t="shared" si="6"/>
        <v>42.479250000000015</v>
      </c>
      <c r="O17" s="14">
        <v>2029</v>
      </c>
      <c r="P17" s="19">
        <f t="shared" si="7"/>
        <v>0.28549396621078033</v>
      </c>
      <c r="Q17" s="19">
        <f t="shared" si="8"/>
        <v>0.28549396621078033</v>
      </c>
      <c r="R17" s="19">
        <f t="shared" si="9"/>
        <v>1.4506033789219625E-2</v>
      </c>
      <c r="S17" s="19"/>
      <c r="AD17" s="8"/>
      <c r="AE17" s="33"/>
      <c r="AF17" s="33"/>
      <c r="AG17" s="33"/>
      <c r="AJ17" s="33"/>
      <c r="AK17" s="33"/>
      <c r="AL17" s="33"/>
      <c r="AM17" s="33"/>
    </row>
    <row r="18" spans="1:39">
      <c r="A18">
        <v>2036</v>
      </c>
      <c r="B18" t="s">
        <v>78</v>
      </c>
      <c r="C18" s="15">
        <f t="shared" si="3"/>
        <v>42.63450000000001</v>
      </c>
      <c r="D18" s="8">
        <f t="shared" si="4"/>
        <v>0.56999999999999995</v>
      </c>
      <c r="E18" s="18">
        <f t="shared" si="1"/>
        <v>0.20002011263073211</v>
      </c>
      <c r="F18" s="18"/>
      <c r="G18">
        <v>2036</v>
      </c>
      <c r="H18">
        <v>79.55</v>
      </c>
      <c r="I18" s="16">
        <f t="shared" si="2"/>
        <v>42.63450000000001</v>
      </c>
      <c r="J18">
        <v>80.36</v>
      </c>
      <c r="K18" s="16">
        <f t="shared" si="5"/>
        <v>45.476800000000004</v>
      </c>
      <c r="L18">
        <v>80.36</v>
      </c>
      <c r="M18" s="16">
        <f t="shared" si="6"/>
        <v>38.454900000000009</v>
      </c>
      <c r="O18" s="14">
        <v>2030</v>
      </c>
      <c r="P18" s="19">
        <f t="shared" si="7"/>
        <v>0.29999999999999993</v>
      </c>
      <c r="Q18" s="19">
        <f t="shared" si="8"/>
        <v>0.29999999999999993</v>
      </c>
      <c r="R18" s="19">
        <f t="shared" si="9"/>
        <v>1.4506033789219625E-2</v>
      </c>
      <c r="S18" s="19"/>
      <c r="AD18" s="8"/>
      <c r="AE18" s="33"/>
      <c r="AF18" s="33"/>
      <c r="AG18" s="33"/>
      <c r="AJ18" s="33"/>
      <c r="AK18" s="33"/>
      <c r="AL18" s="33"/>
      <c r="AM18" s="33"/>
    </row>
    <row r="19" spans="1:39">
      <c r="A19">
        <v>2037</v>
      </c>
      <c r="B19" t="s">
        <v>78</v>
      </c>
      <c r="C19" s="15">
        <f t="shared" si="3"/>
        <v>38.172750000000001</v>
      </c>
      <c r="D19" s="8">
        <f t="shared" si="4"/>
        <v>0.61499999999999999</v>
      </c>
      <c r="E19" s="18">
        <f t="shared" si="1"/>
        <v>0.20002011263073211</v>
      </c>
      <c r="F19" s="18"/>
      <c r="G19">
        <v>2037</v>
      </c>
      <c r="H19">
        <v>79.55</v>
      </c>
      <c r="I19" s="16">
        <f t="shared" si="2"/>
        <v>38.172750000000001</v>
      </c>
      <c r="J19">
        <v>80.36</v>
      </c>
      <c r="K19" s="16">
        <f t="shared" si="5"/>
        <v>40.717600000000004</v>
      </c>
      <c r="L19">
        <v>80.36</v>
      </c>
      <c r="M19" s="16">
        <f t="shared" si="6"/>
        <v>34.430550000000004</v>
      </c>
      <c r="O19" s="14">
        <v>2031</v>
      </c>
      <c r="P19" s="19">
        <f t="shared" si="7"/>
        <v>0.34499999999999992</v>
      </c>
      <c r="Q19" s="19">
        <f t="shared" ref="Q19:Q31" si="10">Q18+R19</f>
        <v>0.34499999999999992</v>
      </c>
      <c r="R19" s="19">
        <v>4.4999999999999998E-2</v>
      </c>
      <c r="S19" s="19"/>
      <c r="AD19" s="8"/>
      <c r="AE19" s="33"/>
      <c r="AF19" s="33"/>
      <c r="AG19" s="33"/>
      <c r="AJ19" s="33"/>
      <c r="AK19" s="33"/>
      <c r="AL19" s="33"/>
      <c r="AM19" s="33"/>
    </row>
    <row r="20" spans="1:39">
      <c r="A20">
        <v>2038</v>
      </c>
      <c r="B20" t="s">
        <v>78</v>
      </c>
      <c r="C20" s="15">
        <f t="shared" si="3"/>
        <v>33.710999999999999</v>
      </c>
      <c r="D20" s="8">
        <f t="shared" si="4"/>
        <v>0.66</v>
      </c>
      <c r="E20" s="18">
        <f t="shared" si="1"/>
        <v>0.20002011263073211</v>
      </c>
      <c r="F20" s="18"/>
      <c r="G20">
        <v>2038</v>
      </c>
      <c r="H20">
        <v>79.55</v>
      </c>
      <c r="I20" s="16">
        <f t="shared" si="2"/>
        <v>33.710999999999999</v>
      </c>
      <c r="J20">
        <v>80.36</v>
      </c>
      <c r="K20" s="16">
        <f t="shared" si="5"/>
        <v>35.958399999999997</v>
      </c>
      <c r="L20">
        <v>80.36</v>
      </c>
      <c r="M20" s="16">
        <f t="shared" si="6"/>
        <v>30.406199999999998</v>
      </c>
      <c r="O20" s="14">
        <v>2032</v>
      </c>
      <c r="P20" s="19">
        <f t="shared" si="7"/>
        <v>0.3899999999999999</v>
      </c>
      <c r="Q20" s="19">
        <f t="shared" si="10"/>
        <v>0.3899999999999999</v>
      </c>
      <c r="R20" s="19">
        <v>4.4999999999999998E-2</v>
      </c>
      <c r="S20" s="19"/>
      <c r="AD20" s="8"/>
      <c r="AE20" s="33"/>
      <c r="AF20" s="33"/>
      <c r="AG20" s="33"/>
      <c r="AJ20" s="33"/>
      <c r="AK20" s="33"/>
      <c r="AL20" s="33"/>
      <c r="AM20" s="33"/>
    </row>
    <row r="21" spans="1:39">
      <c r="A21">
        <v>2039</v>
      </c>
      <c r="B21" t="s">
        <v>78</v>
      </c>
      <c r="C21" s="15">
        <f t="shared" si="3"/>
        <v>29.249249999999993</v>
      </c>
      <c r="D21" s="8">
        <f t="shared" si="4"/>
        <v>0.70500000000000007</v>
      </c>
      <c r="E21" s="18">
        <f t="shared" si="1"/>
        <v>0.20002011263073211</v>
      </c>
      <c r="F21" s="18"/>
      <c r="G21">
        <v>2039</v>
      </c>
      <c r="H21">
        <v>79.55</v>
      </c>
      <c r="I21" s="16">
        <f t="shared" si="2"/>
        <v>29.249249999999993</v>
      </c>
      <c r="J21">
        <v>80.36</v>
      </c>
      <c r="K21" s="16">
        <f t="shared" si="5"/>
        <v>31.199199999999994</v>
      </c>
      <c r="L21">
        <v>80.36</v>
      </c>
      <c r="M21" s="16">
        <f t="shared" si="6"/>
        <v>26.381849999999996</v>
      </c>
      <c r="O21" s="14">
        <v>2033</v>
      </c>
      <c r="P21" s="19">
        <f t="shared" si="7"/>
        <v>0.43499999999999989</v>
      </c>
      <c r="Q21" s="19">
        <f t="shared" si="10"/>
        <v>0.43499999999999989</v>
      </c>
      <c r="R21" s="19">
        <v>4.4999999999999998E-2</v>
      </c>
      <c r="S21" s="19"/>
      <c r="AD21" s="8"/>
      <c r="AE21" s="33"/>
      <c r="AF21" s="33"/>
      <c r="AG21" s="33"/>
      <c r="AJ21" s="33"/>
      <c r="AK21" s="33"/>
      <c r="AL21" s="33"/>
      <c r="AM21" s="33"/>
    </row>
    <row r="22" spans="1:39">
      <c r="A22">
        <v>2040</v>
      </c>
      <c r="B22" t="s">
        <v>78</v>
      </c>
      <c r="C22" s="15">
        <f t="shared" si="3"/>
        <v>24.787499999999991</v>
      </c>
      <c r="D22" s="8">
        <f t="shared" si="4"/>
        <v>0.75000000000000011</v>
      </c>
      <c r="E22" s="18">
        <f t="shared" si="1"/>
        <v>0.20002011263073211</v>
      </c>
      <c r="F22" s="18"/>
      <c r="G22">
        <v>2040</v>
      </c>
      <c r="H22">
        <v>79.55</v>
      </c>
      <c r="I22" s="16">
        <f t="shared" si="2"/>
        <v>24.787499999999991</v>
      </c>
      <c r="J22">
        <v>80.36</v>
      </c>
      <c r="K22" s="16">
        <f t="shared" si="5"/>
        <v>26.439999999999991</v>
      </c>
      <c r="L22">
        <v>80.36</v>
      </c>
      <c r="M22" s="16">
        <f t="shared" si="6"/>
        <v>22.357499999999991</v>
      </c>
      <c r="O22" s="14">
        <v>2034</v>
      </c>
      <c r="P22" s="19">
        <f t="shared" si="7"/>
        <v>0.47999999999999987</v>
      </c>
      <c r="Q22" s="19">
        <f t="shared" si="10"/>
        <v>0.47999999999999987</v>
      </c>
      <c r="R22" s="19">
        <v>4.4999999999999998E-2</v>
      </c>
      <c r="S22" s="19"/>
      <c r="AD22" s="8"/>
      <c r="AE22" s="33"/>
      <c r="AF22" s="33"/>
      <c r="AG22" s="33"/>
      <c r="AJ22" s="33"/>
      <c r="AK22" s="33"/>
      <c r="AL22" s="33"/>
      <c r="AM22" s="33"/>
    </row>
    <row r="23" spans="1:39">
      <c r="A23">
        <v>2041</v>
      </c>
      <c r="B23" t="s">
        <v>78</v>
      </c>
      <c r="C23" s="15">
        <f t="shared" si="3"/>
        <v>21.812999999999988</v>
      </c>
      <c r="D23" s="8">
        <f t="shared" si="4"/>
        <v>0.78000000000000014</v>
      </c>
      <c r="E23" s="18">
        <f t="shared" si="1"/>
        <v>0.20002011263073211</v>
      </c>
      <c r="F23" s="18"/>
      <c r="G23">
        <v>2041</v>
      </c>
      <c r="H23">
        <v>79.55</v>
      </c>
      <c r="I23" s="16">
        <f t="shared" si="2"/>
        <v>21.812999999999988</v>
      </c>
      <c r="J23">
        <v>80.36</v>
      </c>
      <c r="K23" s="16">
        <f t="shared" si="5"/>
        <v>23.267199999999988</v>
      </c>
      <c r="L23">
        <v>80.36</v>
      </c>
      <c r="M23" s="16">
        <f t="shared" si="6"/>
        <v>19.674599999999987</v>
      </c>
      <c r="O23" s="14">
        <v>2035</v>
      </c>
      <c r="P23" s="19">
        <f t="shared" si="7"/>
        <v>0.52499999999999991</v>
      </c>
      <c r="Q23" s="19">
        <f t="shared" si="10"/>
        <v>0.52499999999999991</v>
      </c>
      <c r="R23" s="19">
        <v>4.4999999999999998E-2</v>
      </c>
      <c r="S23" s="19"/>
      <c r="AD23" s="8"/>
      <c r="AE23" s="33"/>
      <c r="AF23" s="33"/>
      <c r="AG23" s="33"/>
      <c r="AJ23" s="33"/>
      <c r="AK23" s="33"/>
      <c r="AL23" s="33"/>
      <c r="AM23" s="33"/>
    </row>
    <row r="24" spans="1:39">
      <c r="A24">
        <v>2042</v>
      </c>
      <c r="B24" t="s">
        <v>78</v>
      </c>
      <c r="C24" s="15">
        <f t="shared" si="3"/>
        <v>18.838499999999986</v>
      </c>
      <c r="D24" s="8">
        <f t="shared" si="4"/>
        <v>0.81000000000000016</v>
      </c>
      <c r="E24" s="18">
        <f t="shared" si="1"/>
        <v>0.20002011263073211</v>
      </c>
      <c r="F24" s="18"/>
      <c r="G24">
        <v>2042</v>
      </c>
      <c r="H24">
        <v>79.55</v>
      </c>
      <c r="I24" s="16">
        <f t="shared" si="2"/>
        <v>18.838499999999986</v>
      </c>
      <c r="J24">
        <v>80.36</v>
      </c>
      <c r="K24" s="16">
        <f t="shared" si="5"/>
        <v>20.094399999999982</v>
      </c>
      <c r="L24">
        <v>80.36</v>
      </c>
      <c r="M24" s="16">
        <f t="shared" si="6"/>
        <v>16.991699999999987</v>
      </c>
      <c r="O24" s="14">
        <v>2036</v>
      </c>
      <c r="P24" s="19">
        <f t="shared" si="7"/>
        <v>0.56999999999999995</v>
      </c>
      <c r="Q24" s="19">
        <f t="shared" si="10"/>
        <v>0.56999999999999995</v>
      </c>
      <c r="R24" s="19">
        <v>4.4999999999999998E-2</v>
      </c>
      <c r="S24" s="19"/>
      <c r="AD24" s="8"/>
      <c r="AE24" s="33"/>
      <c r="AF24" s="33"/>
      <c r="AG24" s="33"/>
      <c r="AJ24" s="33"/>
      <c r="AK24" s="33"/>
      <c r="AL24" s="33"/>
      <c r="AM24" s="33"/>
    </row>
    <row r="25" spans="1:39">
      <c r="A25">
        <v>2043</v>
      </c>
      <c r="B25" t="s">
        <v>78</v>
      </c>
      <c r="C25" s="15">
        <f t="shared" si="3"/>
        <v>15.863999999999981</v>
      </c>
      <c r="D25" s="8">
        <f t="shared" si="4"/>
        <v>0.8400000000000003</v>
      </c>
      <c r="E25" s="18">
        <f t="shared" si="1"/>
        <v>0.20002011263073211</v>
      </c>
      <c r="F25" s="18"/>
      <c r="G25">
        <v>2043</v>
      </c>
      <c r="H25">
        <v>79.55</v>
      </c>
      <c r="I25" s="16">
        <f t="shared" si="2"/>
        <v>15.863999999999981</v>
      </c>
      <c r="J25">
        <v>80.36</v>
      </c>
      <c r="K25" s="16">
        <f t="shared" si="5"/>
        <v>16.92159999999998</v>
      </c>
      <c r="L25">
        <v>80.36</v>
      </c>
      <c r="M25" s="16">
        <f t="shared" si="6"/>
        <v>14.308799999999984</v>
      </c>
      <c r="O25" s="14">
        <v>2037</v>
      </c>
      <c r="P25" s="19">
        <f t="shared" si="7"/>
        <v>0.61499999999999999</v>
      </c>
      <c r="Q25" s="19">
        <f t="shared" si="10"/>
        <v>0.61499999999999999</v>
      </c>
      <c r="R25" s="19">
        <v>4.4999999999999998E-2</v>
      </c>
      <c r="S25" s="19"/>
      <c r="AD25" s="8"/>
      <c r="AE25" s="33"/>
      <c r="AF25" s="33"/>
      <c r="AG25" s="33"/>
      <c r="AJ25" s="33"/>
      <c r="AK25" s="33"/>
      <c r="AL25" s="33"/>
      <c r="AM25" s="33"/>
    </row>
    <row r="26" spans="1:39">
      <c r="A26">
        <v>2044</v>
      </c>
      <c r="B26" t="s">
        <v>78</v>
      </c>
      <c r="C26" s="15">
        <f t="shared" si="3"/>
        <v>12.889499999999979</v>
      </c>
      <c r="D26" s="8">
        <f t="shared" si="4"/>
        <v>0.87000000000000022</v>
      </c>
      <c r="E26" s="18">
        <f t="shared" si="1"/>
        <v>0.20002011263073211</v>
      </c>
      <c r="F26" s="18"/>
      <c r="G26">
        <v>2044</v>
      </c>
      <c r="H26">
        <v>79.55</v>
      </c>
      <c r="I26" s="16">
        <f t="shared" si="2"/>
        <v>12.889499999999979</v>
      </c>
      <c r="J26">
        <v>80.36</v>
      </c>
      <c r="K26" s="16">
        <f t="shared" si="5"/>
        <v>13.748799999999978</v>
      </c>
      <c r="L26">
        <v>80.36</v>
      </c>
      <c r="M26" s="16">
        <f t="shared" si="6"/>
        <v>11.625899999999982</v>
      </c>
      <c r="O26" s="14">
        <v>2038</v>
      </c>
      <c r="P26" s="19">
        <f t="shared" si="7"/>
        <v>0.66</v>
      </c>
      <c r="Q26" s="19">
        <f t="shared" si="10"/>
        <v>0.66</v>
      </c>
      <c r="R26" s="19">
        <v>4.4999999999999998E-2</v>
      </c>
      <c r="S26" s="19"/>
      <c r="AD26" s="8"/>
      <c r="AE26" s="33"/>
      <c r="AF26" s="33"/>
      <c r="AG26" s="33"/>
      <c r="AJ26" s="33"/>
      <c r="AK26" s="33"/>
      <c r="AL26" s="33"/>
      <c r="AM26" s="33"/>
    </row>
    <row r="27" spans="1:39">
      <c r="A27">
        <v>2045</v>
      </c>
      <c r="B27" t="s">
        <v>78</v>
      </c>
      <c r="C27" s="15">
        <f>I27</f>
        <v>9.9149999999999761</v>
      </c>
      <c r="D27" s="8">
        <f t="shared" si="4"/>
        <v>0.90000000000000024</v>
      </c>
      <c r="E27" s="18">
        <f t="shared" si="1"/>
        <v>0.20002011263073211</v>
      </c>
      <c r="F27" s="18"/>
      <c r="G27">
        <v>2045</v>
      </c>
      <c r="H27">
        <v>79.55</v>
      </c>
      <c r="I27" s="16">
        <f t="shared" si="2"/>
        <v>9.9149999999999761</v>
      </c>
      <c r="J27">
        <v>80.36</v>
      </c>
      <c r="K27" s="16">
        <f t="shared" si="5"/>
        <v>10.575999999999974</v>
      </c>
      <c r="L27">
        <v>80.36</v>
      </c>
      <c r="M27" s="16">
        <f t="shared" si="6"/>
        <v>8.9429999999999783</v>
      </c>
      <c r="O27" s="14">
        <v>2039</v>
      </c>
      <c r="P27" s="19">
        <f t="shared" si="7"/>
        <v>0.70500000000000007</v>
      </c>
      <c r="Q27" s="19">
        <f t="shared" si="10"/>
        <v>0.70500000000000007</v>
      </c>
      <c r="R27" s="19">
        <v>4.4999999999999998E-2</v>
      </c>
      <c r="S27" s="19"/>
      <c r="AD27" s="8"/>
      <c r="AE27" s="33"/>
      <c r="AF27" s="33"/>
      <c r="AG27" s="33"/>
      <c r="AJ27" s="33"/>
      <c r="AK27" s="33"/>
      <c r="AL27" s="33"/>
      <c r="AM27" s="33"/>
    </row>
    <row r="28" spans="1:39">
      <c r="A28">
        <v>2046</v>
      </c>
      <c r="B28" t="s">
        <v>78</v>
      </c>
      <c r="C28" s="15">
        <f t="shared" ref="C28" si="11">I28</f>
        <v>9.9149999999999761</v>
      </c>
      <c r="D28" s="8">
        <f t="shared" ref="D28" si="12">ABS((C28-$Q$7)/$Q$7)</f>
        <v>0.90000000000000024</v>
      </c>
      <c r="E28" s="18">
        <f t="shared" si="1"/>
        <v>0.20002011263073211</v>
      </c>
      <c r="F28" s="18"/>
      <c r="G28">
        <v>2046</v>
      </c>
      <c r="H28">
        <v>79.55</v>
      </c>
      <c r="I28" s="16">
        <f t="shared" ref="I28" si="13">$Q$7*(1-P34)</f>
        <v>9.9149999999999761</v>
      </c>
      <c r="J28">
        <v>80.36</v>
      </c>
      <c r="K28" s="16">
        <f t="shared" ref="K28" si="14">$Q$8*(1-P34)</f>
        <v>10.575999999999974</v>
      </c>
      <c r="L28">
        <v>80.36</v>
      </c>
      <c r="M28" s="16">
        <f t="shared" si="6"/>
        <v>8.9429999999999783</v>
      </c>
      <c r="O28" s="14">
        <v>2040</v>
      </c>
      <c r="P28" s="19">
        <f t="shared" si="7"/>
        <v>0.75000000000000011</v>
      </c>
      <c r="Q28" s="19">
        <f t="shared" si="10"/>
        <v>0.75000000000000011</v>
      </c>
      <c r="R28" s="19">
        <v>4.4999999999999998E-2</v>
      </c>
      <c r="S28" s="19"/>
      <c r="AD28" s="8"/>
      <c r="AE28" s="33"/>
      <c r="AF28" s="33"/>
      <c r="AG28" s="33"/>
      <c r="AJ28" s="33"/>
      <c r="AK28" s="33"/>
      <c r="AL28" s="33"/>
      <c r="AM28" s="33"/>
    </row>
    <row r="29" spans="1:39">
      <c r="A29">
        <v>2020</v>
      </c>
      <c r="B29" t="s">
        <v>70</v>
      </c>
      <c r="C29" s="15">
        <v>92.92</v>
      </c>
      <c r="D29" s="8">
        <f>ABS((C29-100.45)/100.45)</f>
        <v>7.4962667994026885E-2</v>
      </c>
      <c r="O29" s="14">
        <v>2041</v>
      </c>
      <c r="P29" s="19">
        <f t="shared" si="7"/>
        <v>0.78000000000000014</v>
      </c>
      <c r="Q29" s="19">
        <f t="shared" si="10"/>
        <v>0.78000000000000014</v>
      </c>
      <c r="R29" s="19">
        <v>0.03</v>
      </c>
      <c r="S29" s="19"/>
      <c r="AD29" s="8"/>
      <c r="AE29" s="33"/>
      <c r="AF29" s="33"/>
      <c r="AG29" s="33"/>
      <c r="AJ29" s="33"/>
      <c r="AK29" s="33"/>
      <c r="AL29" s="33"/>
      <c r="AM29" s="33"/>
    </row>
    <row r="30" spans="1:39">
      <c r="A30">
        <v>2021</v>
      </c>
      <c r="B30" t="s">
        <v>70</v>
      </c>
      <c r="C30" s="15">
        <v>91.66</v>
      </c>
      <c r="D30" s="8">
        <f t="shared" ref="D30:D32" si="15">ABS((C30-100.45)/100.45)</f>
        <v>8.7506222000995573E-2</v>
      </c>
      <c r="O30" s="14">
        <v>2042</v>
      </c>
      <c r="P30" s="19">
        <f t="shared" si="7"/>
        <v>0.81000000000000016</v>
      </c>
      <c r="Q30" s="19">
        <f t="shared" si="10"/>
        <v>0.81000000000000016</v>
      </c>
      <c r="R30" s="19">
        <v>0.03</v>
      </c>
      <c r="S30" s="19"/>
      <c r="AD30" s="8"/>
      <c r="AE30" s="33"/>
      <c r="AF30" s="33"/>
      <c r="AG30" s="33"/>
      <c r="AJ30" s="33"/>
      <c r="AK30" s="33"/>
      <c r="AL30" s="33"/>
      <c r="AM30" s="33"/>
    </row>
    <row r="31" spans="1:39">
      <c r="A31">
        <v>2022</v>
      </c>
      <c r="B31" t="s">
        <v>70</v>
      </c>
      <c r="C31" s="15">
        <v>90.41</v>
      </c>
      <c r="D31" s="8">
        <f t="shared" si="15"/>
        <v>9.9950223992035903E-2</v>
      </c>
      <c r="O31" s="14">
        <v>2043</v>
      </c>
      <c r="P31" s="19">
        <f t="shared" si="7"/>
        <v>0.84000000000000019</v>
      </c>
      <c r="Q31" s="19">
        <f t="shared" si="10"/>
        <v>0.84000000000000019</v>
      </c>
      <c r="R31" s="19">
        <v>0.03</v>
      </c>
      <c r="S31" s="19"/>
    </row>
    <row r="32" spans="1:39">
      <c r="A32">
        <v>2023</v>
      </c>
      <c r="B32" t="s">
        <v>70</v>
      </c>
      <c r="C32" s="15">
        <v>89.15</v>
      </c>
      <c r="D32" s="8">
        <f t="shared" si="15"/>
        <v>0.11249377799900445</v>
      </c>
      <c r="O32" s="14">
        <v>2044</v>
      </c>
      <c r="P32" s="19">
        <f t="shared" si="7"/>
        <v>0.87000000000000022</v>
      </c>
      <c r="Q32" s="19">
        <f>Q31+R32</f>
        <v>0.87000000000000022</v>
      </c>
      <c r="R32" s="19">
        <v>0.03</v>
      </c>
      <c r="S32" s="19"/>
    </row>
    <row r="33" spans="1:19">
      <c r="A33">
        <v>2024</v>
      </c>
      <c r="B33" t="s">
        <v>70</v>
      </c>
      <c r="C33" s="15">
        <v>87.89</v>
      </c>
      <c r="D33" s="8">
        <f>ABS((C33-100.45)/100.45)</f>
        <v>0.12503733200597314</v>
      </c>
      <c r="O33" s="14">
        <v>2045</v>
      </c>
      <c r="P33" s="19">
        <f t="shared" ref="P33" si="16">Q33</f>
        <v>0.90000000000000024</v>
      </c>
      <c r="Q33" s="19">
        <f>Q32+R33</f>
        <v>0.90000000000000024</v>
      </c>
      <c r="R33" s="19">
        <v>0.03</v>
      </c>
      <c r="S33" s="19"/>
    </row>
    <row r="34" spans="1:19">
      <c r="A34">
        <v>2025</v>
      </c>
      <c r="B34" t="s">
        <v>70</v>
      </c>
      <c r="C34" s="15">
        <f>K7</f>
        <v>81.70279066773935</v>
      </c>
      <c r="D34" s="18">
        <f>ABS((C34-$Q$8)/$Q$8)</f>
        <v>0.22746983105390178</v>
      </c>
      <c r="O34" s="14">
        <v>2046</v>
      </c>
      <c r="P34" s="19">
        <f>Q34</f>
        <v>0.90000000000000024</v>
      </c>
      <c r="Q34" s="19">
        <f>Q33+R34</f>
        <v>0.90000000000000024</v>
      </c>
      <c r="R34" s="19">
        <v>0</v>
      </c>
      <c r="S34" s="19"/>
    </row>
    <row r="35" spans="1:19">
      <c r="A35">
        <v>2026</v>
      </c>
      <c r="B35" t="s">
        <v>70</v>
      </c>
      <c r="C35" s="15">
        <f t="shared" ref="C35:C55" si="17">K8</f>
        <v>80.168632534191474</v>
      </c>
      <c r="D35" s="8">
        <f t="shared" ref="D35:D55" si="18">ABS((C35-$Q$8)/$Q$8)</f>
        <v>0.2419758648431215</v>
      </c>
    </row>
    <row r="36" spans="1:19">
      <c r="A36">
        <v>2027</v>
      </c>
      <c r="B36" t="s">
        <v>70</v>
      </c>
      <c r="C36" s="15">
        <f t="shared" si="17"/>
        <v>78.634474400643597</v>
      </c>
      <c r="D36" s="8">
        <f t="shared" si="18"/>
        <v>0.25648189863234122</v>
      </c>
    </row>
    <row r="37" spans="1:19">
      <c r="A37">
        <v>2028</v>
      </c>
      <c r="B37" t="s">
        <v>70</v>
      </c>
      <c r="C37" s="15">
        <f t="shared" si="17"/>
        <v>77.100316267095735</v>
      </c>
      <c r="D37" s="8">
        <f t="shared" si="18"/>
        <v>0.27098793242156077</v>
      </c>
    </row>
    <row r="38" spans="1:19">
      <c r="A38">
        <v>2029</v>
      </c>
      <c r="B38" t="s">
        <v>70</v>
      </c>
      <c r="C38" s="15">
        <f t="shared" si="17"/>
        <v>75.566158133547887</v>
      </c>
      <c r="D38" s="8">
        <f t="shared" si="18"/>
        <v>0.28549396621078021</v>
      </c>
    </row>
    <row r="39" spans="1:19">
      <c r="A39">
        <v>2030</v>
      </c>
      <c r="B39" t="s">
        <v>70</v>
      </c>
      <c r="C39" s="15">
        <f t="shared" si="17"/>
        <v>74.032000000000011</v>
      </c>
      <c r="D39" s="18">
        <f t="shared" si="18"/>
        <v>0.29999999999999993</v>
      </c>
    </row>
    <row r="40" spans="1:19">
      <c r="A40">
        <v>2031</v>
      </c>
      <c r="B40" t="s">
        <v>70</v>
      </c>
      <c r="C40" s="15">
        <f t="shared" si="17"/>
        <v>69.272800000000004</v>
      </c>
      <c r="D40" s="8">
        <f t="shared" si="18"/>
        <v>0.34499999999999997</v>
      </c>
    </row>
    <row r="41" spans="1:19">
      <c r="A41">
        <v>2032</v>
      </c>
      <c r="B41" t="s">
        <v>70</v>
      </c>
      <c r="C41" s="15">
        <f t="shared" si="17"/>
        <v>64.513600000000011</v>
      </c>
      <c r="D41" s="8">
        <f t="shared" si="18"/>
        <v>0.3899999999999999</v>
      </c>
    </row>
    <row r="42" spans="1:19">
      <c r="A42">
        <v>2033</v>
      </c>
      <c r="B42" t="s">
        <v>70</v>
      </c>
      <c r="C42" s="15">
        <f t="shared" si="17"/>
        <v>59.754400000000018</v>
      </c>
      <c r="D42" s="8">
        <f t="shared" si="18"/>
        <v>0.43499999999999983</v>
      </c>
    </row>
    <row r="43" spans="1:19">
      <c r="A43">
        <v>2034</v>
      </c>
      <c r="B43" t="s">
        <v>70</v>
      </c>
      <c r="C43" s="15">
        <f t="shared" si="17"/>
        <v>54.995200000000018</v>
      </c>
      <c r="D43" s="8">
        <f t="shared" si="18"/>
        <v>0.47999999999999987</v>
      </c>
    </row>
    <row r="44" spans="1:19">
      <c r="A44">
        <v>2035</v>
      </c>
      <c r="B44" t="s">
        <v>70</v>
      </c>
      <c r="C44" s="15">
        <f t="shared" si="17"/>
        <v>50.236000000000011</v>
      </c>
      <c r="D44" s="8">
        <f t="shared" si="18"/>
        <v>0.52499999999999991</v>
      </c>
    </row>
    <row r="45" spans="1:19">
      <c r="A45">
        <v>2036</v>
      </c>
      <c r="B45" t="s">
        <v>70</v>
      </c>
      <c r="C45" s="15">
        <f t="shared" si="17"/>
        <v>45.476800000000004</v>
      </c>
      <c r="D45" s="8">
        <f t="shared" si="18"/>
        <v>0.56999999999999995</v>
      </c>
    </row>
    <row r="46" spans="1:19">
      <c r="A46">
        <v>2037</v>
      </c>
      <c r="B46" t="s">
        <v>70</v>
      </c>
      <c r="C46" s="15">
        <f t="shared" si="17"/>
        <v>40.717600000000004</v>
      </c>
      <c r="D46" s="8">
        <f t="shared" si="18"/>
        <v>0.61499999999999999</v>
      </c>
    </row>
    <row r="47" spans="1:19">
      <c r="A47">
        <v>2038</v>
      </c>
      <c r="B47" t="s">
        <v>70</v>
      </c>
      <c r="C47" s="15">
        <f t="shared" si="17"/>
        <v>35.958399999999997</v>
      </c>
      <c r="D47" s="8">
        <f t="shared" si="18"/>
        <v>0.66</v>
      </c>
    </row>
    <row r="48" spans="1:19">
      <c r="A48">
        <v>2039</v>
      </c>
      <c r="B48" t="s">
        <v>70</v>
      </c>
      <c r="C48" s="15">
        <f t="shared" si="17"/>
        <v>31.199199999999994</v>
      </c>
      <c r="D48" s="8">
        <f t="shared" si="18"/>
        <v>0.70500000000000007</v>
      </c>
    </row>
    <row r="49" spans="1:4">
      <c r="A49">
        <v>2040</v>
      </c>
      <c r="B49" t="s">
        <v>70</v>
      </c>
      <c r="C49" s="15">
        <f t="shared" si="17"/>
        <v>26.439999999999991</v>
      </c>
      <c r="D49" s="8">
        <f t="shared" si="18"/>
        <v>0.75000000000000022</v>
      </c>
    </row>
    <row r="50" spans="1:4">
      <c r="A50">
        <v>2041</v>
      </c>
      <c r="B50" t="s">
        <v>70</v>
      </c>
      <c r="C50" s="15">
        <f t="shared" si="17"/>
        <v>23.267199999999988</v>
      </c>
      <c r="D50" s="8">
        <f t="shared" si="18"/>
        <v>0.78000000000000014</v>
      </c>
    </row>
    <row r="51" spans="1:4">
      <c r="A51">
        <v>2042</v>
      </c>
      <c r="B51" t="s">
        <v>70</v>
      </c>
      <c r="C51" s="15">
        <f t="shared" si="17"/>
        <v>20.094399999999982</v>
      </c>
      <c r="D51" s="8">
        <f t="shared" si="18"/>
        <v>0.81000000000000016</v>
      </c>
    </row>
    <row r="52" spans="1:4">
      <c r="A52">
        <v>2043</v>
      </c>
      <c r="B52" t="s">
        <v>70</v>
      </c>
      <c r="C52" s="15">
        <f t="shared" si="17"/>
        <v>16.92159999999998</v>
      </c>
      <c r="D52" s="8">
        <f t="shared" si="18"/>
        <v>0.84000000000000019</v>
      </c>
    </row>
    <row r="53" spans="1:4">
      <c r="A53">
        <v>2044</v>
      </c>
      <c r="B53" t="s">
        <v>70</v>
      </c>
      <c r="C53" s="15">
        <f t="shared" si="17"/>
        <v>13.748799999999978</v>
      </c>
      <c r="D53" s="8">
        <f t="shared" si="18"/>
        <v>0.87000000000000022</v>
      </c>
    </row>
    <row r="54" spans="1:4">
      <c r="A54">
        <v>2045</v>
      </c>
      <c r="B54" t="s">
        <v>70</v>
      </c>
      <c r="C54" s="15">
        <f t="shared" si="17"/>
        <v>10.575999999999974</v>
      </c>
      <c r="D54" s="8">
        <f t="shared" si="18"/>
        <v>0.90000000000000024</v>
      </c>
    </row>
    <row r="55" spans="1:4">
      <c r="A55">
        <v>2046</v>
      </c>
      <c r="B55" t="s">
        <v>70</v>
      </c>
      <c r="C55" s="15">
        <f t="shared" si="17"/>
        <v>10.575999999999974</v>
      </c>
      <c r="D55" s="8">
        <f t="shared" si="18"/>
        <v>0.90000000000000024</v>
      </c>
    </row>
    <row r="56" spans="1:4">
      <c r="A56">
        <v>2020</v>
      </c>
      <c r="B56" t="s">
        <v>62</v>
      </c>
      <c r="C56" s="15">
        <f>M2</f>
        <v>89.37</v>
      </c>
      <c r="D56" s="8">
        <f>ABS((C56-89.37)/89.37)</f>
        <v>0</v>
      </c>
    </row>
    <row r="57" spans="1:4">
      <c r="A57">
        <v>2021</v>
      </c>
      <c r="B57" t="s">
        <v>62</v>
      </c>
      <c r="C57" s="15">
        <f>M3</f>
        <v>89.37</v>
      </c>
      <c r="D57" s="8">
        <f t="shared" ref="D57:D60" si="19">ABS((C57-89.37)/89.37)</f>
        <v>0</v>
      </c>
    </row>
    <row r="58" spans="1:4">
      <c r="A58">
        <v>2022</v>
      </c>
      <c r="B58" t="s">
        <v>62</v>
      </c>
      <c r="C58" s="15">
        <f>M4</f>
        <v>89.37</v>
      </c>
      <c r="D58" s="8">
        <f t="shared" si="19"/>
        <v>0</v>
      </c>
    </row>
    <row r="59" spans="1:4">
      <c r="A59">
        <v>2023</v>
      </c>
      <c r="B59" t="s">
        <v>62</v>
      </c>
      <c r="C59" s="15">
        <f>M5</f>
        <v>89.15</v>
      </c>
      <c r="D59" s="8">
        <f t="shared" si="19"/>
        <v>2.4616761776882494E-3</v>
      </c>
    </row>
    <row r="60" spans="1:4">
      <c r="A60">
        <v>2024</v>
      </c>
      <c r="B60" t="s">
        <v>62</v>
      </c>
      <c r="C60" s="15">
        <f>M6</f>
        <v>87.89</v>
      </c>
      <c r="D60" s="8">
        <f t="shared" si="19"/>
        <v>1.6560367013539263E-2</v>
      </c>
    </row>
    <row r="61" spans="1:4">
      <c r="A61">
        <v>2025</v>
      </c>
      <c r="B61" t="s">
        <v>62</v>
      </c>
      <c r="C61" s="15">
        <f>C34</f>
        <v>81.70279066773935</v>
      </c>
      <c r="D61" s="8">
        <f>ABS((C61-$Q$9)/$Q$9)</f>
        <v>8.640511385732591E-2</v>
      </c>
    </row>
    <row r="62" spans="1:4">
      <c r="A62">
        <v>2026</v>
      </c>
      <c r="B62" t="s">
        <v>62</v>
      </c>
      <c r="C62" s="15">
        <f t="shared" ref="C62:C82" si="20">C35</f>
        <v>80.168632534191474</v>
      </c>
      <c r="D62" s="8">
        <f t="shared" ref="D62:D82" si="21">ABS((C62-$Q$9)/$Q$9)</f>
        <v>0.1035599627173044</v>
      </c>
    </row>
    <row r="63" spans="1:4">
      <c r="A63">
        <v>2027</v>
      </c>
      <c r="B63" t="s">
        <v>62</v>
      </c>
      <c r="C63" s="15">
        <f t="shared" si="20"/>
        <v>78.634474400643597</v>
      </c>
      <c r="D63" s="8">
        <f t="shared" si="21"/>
        <v>0.12071481157728289</v>
      </c>
    </row>
    <row r="64" spans="1:4">
      <c r="A64">
        <v>2028</v>
      </c>
      <c r="B64" t="s">
        <v>62</v>
      </c>
      <c r="C64" s="15">
        <f t="shared" si="20"/>
        <v>77.100316267095735</v>
      </c>
      <c r="D64" s="8">
        <f t="shared" si="21"/>
        <v>0.1378696604372612</v>
      </c>
    </row>
    <row r="65" spans="1:4">
      <c r="A65">
        <v>2029</v>
      </c>
      <c r="B65" t="s">
        <v>62</v>
      </c>
      <c r="C65" s="15">
        <f t="shared" si="20"/>
        <v>75.566158133547887</v>
      </c>
      <c r="D65" s="8">
        <f t="shared" si="21"/>
        <v>0.15502450929723938</v>
      </c>
    </row>
    <row r="66" spans="1:4">
      <c r="A66">
        <v>2030</v>
      </c>
      <c r="B66" t="s">
        <v>62</v>
      </c>
      <c r="C66" s="15">
        <f t="shared" si="20"/>
        <v>74.032000000000011</v>
      </c>
      <c r="D66" s="8">
        <f>ABS((C66-$Q$9)/$Q$9)</f>
        <v>0.17217935815721788</v>
      </c>
    </row>
    <row r="67" spans="1:4">
      <c r="A67">
        <v>2031</v>
      </c>
      <c r="B67" t="s">
        <v>62</v>
      </c>
      <c r="C67" s="15">
        <f t="shared" si="20"/>
        <v>69.272800000000004</v>
      </c>
      <c r="D67" s="8">
        <f t="shared" si="21"/>
        <v>0.22539639941853964</v>
      </c>
    </row>
    <row r="68" spans="1:4">
      <c r="A68">
        <v>2032</v>
      </c>
      <c r="B68" t="s">
        <v>62</v>
      </c>
      <c r="C68" s="15">
        <f t="shared" si="20"/>
        <v>64.513600000000011</v>
      </c>
      <c r="D68" s="8">
        <f t="shared" si="21"/>
        <v>0.27861344067986127</v>
      </c>
    </row>
    <row r="69" spans="1:4">
      <c r="A69">
        <v>2033</v>
      </c>
      <c r="B69" t="s">
        <v>62</v>
      </c>
      <c r="C69" s="15">
        <f t="shared" si="20"/>
        <v>59.754400000000018</v>
      </c>
      <c r="D69" s="8">
        <f t="shared" si="21"/>
        <v>0.33183048194118292</v>
      </c>
    </row>
    <row r="70" spans="1:4">
      <c r="A70">
        <v>2034</v>
      </c>
      <c r="B70" t="s">
        <v>62</v>
      </c>
      <c r="C70" s="15">
        <f t="shared" si="20"/>
        <v>54.995200000000018</v>
      </c>
      <c r="D70" s="8">
        <f t="shared" si="21"/>
        <v>0.38504752320250457</v>
      </c>
    </row>
    <row r="71" spans="1:4">
      <c r="A71">
        <v>2035</v>
      </c>
      <c r="B71" t="s">
        <v>62</v>
      </c>
      <c r="C71" s="15">
        <f t="shared" si="20"/>
        <v>50.236000000000011</v>
      </c>
      <c r="D71" s="8">
        <f t="shared" si="21"/>
        <v>0.43826456446382639</v>
      </c>
    </row>
    <row r="72" spans="1:4">
      <c r="A72">
        <v>2036</v>
      </c>
      <c r="B72" t="s">
        <v>62</v>
      </c>
      <c r="C72" s="15">
        <f t="shared" si="20"/>
        <v>45.476800000000004</v>
      </c>
      <c r="D72" s="8">
        <f t="shared" si="21"/>
        <v>0.49148160572514815</v>
      </c>
    </row>
    <row r="73" spans="1:4">
      <c r="A73">
        <v>2037</v>
      </c>
      <c r="B73" t="s">
        <v>62</v>
      </c>
      <c r="C73" s="15">
        <f t="shared" si="20"/>
        <v>40.717600000000004</v>
      </c>
      <c r="D73" s="8">
        <f t="shared" si="21"/>
        <v>0.54469864698646986</v>
      </c>
    </row>
    <row r="74" spans="1:4">
      <c r="A74">
        <v>2038</v>
      </c>
      <c r="B74" t="s">
        <v>62</v>
      </c>
      <c r="C74" s="15">
        <f t="shared" si="20"/>
        <v>35.958399999999997</v>
      </c>
      <c r="D74" s="8">
        <f t="shared" si="21"/>
        <v>0.59791568824779162</v>
      </c>
    </row>
    <row r="75" spans="1:4">
      <c r="A75">
        <v>2039</v>
      </c>
      <c r="B75" t="s">
        <v>62</v>
      </c>
      <c r="C75" s="15">
        <f t="shared" si="20"/>
        <v>31.199199999999994</v>
      </c>
      <c r="D75" s="8">
        <f t="shared" si="21"/>
        <v>0.65113272950911338</v>
      </c>
    </row>
    <row r="76" spans="1:4">
      <c r="A76">
        <v>2040</v>
      </c>
      <c r="B76" t="s">
        <v>62</v>
      </c>
      <c r="C76" s="15">
        <f t="shared" si="20"/>
        <v>26.439999999999991</v>
      </c>
      <c r="D76" s="8">
        <f t="shared" si="21"/>
        <v>0.70434977077043515</v>
      </c>
    </row>
    <row r="77" spans="1:4">
      <c r="A77">
        <v>2041</v>
      </c>
      <c r="B77" t="s">
        <v>62</v>
      </c>
      <c r="C77" s="15">
        <f t="shared" si="20"/>
        <v>23.267199999999988</v>
      </c>
      <c r="D77" s="8">
        <f t="shared" si="21"/>
        <v>0.73982779827798295</v>
      </c>
    </row>
    <row r="78" spans="1:4">
      <c r="A78">
        <v>2042</v>
      </c>
      <c r="B78" t="s">
        <v>62</v>
      </c>
      <c r="C78" s="15">
        <f t="shared" si="20"/>
        <v>20.094399999999982</v>
      </c>
      <c r="D78" s="8">
        <f t="shared" si="21"/>
        <v>0.77530582578553087</v>
      </c>
    </row>
    <row r="79" spans="1:4">
      <c r="A79">
        <v>2043</v>
      </c>
      <c r="B79" t="s">
        <v>62</v>
      </c>
      <c r="C79" s="15">
        <f t="shared" si="20"/>
        <v>16.92159999999998</v>
      </c>
      <c r="D79" s="8">
        <f t="shared" si="21"/>
        <v>0.81078385329307856</v>
      </c>
    </row>
    <row r="80" spans="1:4">
      <c r="A80">
        <v>2044</v>
      </c>
      <c r="B80" t="s">
        <v>62</v>
      </c>
      <c r="C80" s="15">
        <f t="shared" si="20"/>
        <v>13.748799999999978</v>
      </c>
      <c r="D80" s="8">
        <f t="shared" si="21"/>
        <v>0.84626188080062648</v>
      </c>
    </row>
    <row r="81" spans="1:4">
      <c r="A81">
        <v>2045</v>
      </c>
      <c r="B81" t="s">
        <v>62</v>
      </c>
      <c r="C81" s="15">
        <f t="shared" si="20"/>
        <v>10.575999999999974</v>
      </c>
      <c r="D81" s="8">
        <f t="shared" si="21"/>
        <v>0.88173990830817428</v>
      </c>
    </row>
    <row r="82" spans="1:4">
      <c r="A82">
        <v>2046</v>
      </c>
      <c r="B82" t="s">
        <v>62</v>
      </c>
      <c r="C82" s="15">
        <f t="shared" si="20"/>
        <v>10.575999999999974</v>
      </c>
      <c r="D82" s="8">
        <f t="shared" si="21"/>
        <v>0.88173990830817428</v>
      </c>
    </row>
    <row r="83" spans="1:4">
      <c r="A83">
        <v>2020</v>
      </c>
      <c r="B83" t="s">
        <v>53</v>
      </c>
      <c r="C83" s="15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H9" sqref="H9"/>
    </sheetView>
  </sheetViews>
  <sheetFormatPr defaultRowHeight="14.4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240</v>
      </c>
      <c r="C1" s="1" t="s">
        <v>1</v>
      </c>
      <c r="D1" s="1" t="s">
        <v>241</v>
      </c>
      <c r="E1" s="1" t="s">
        <v>242</v>
      </c>
      <c r="F1" s="4" t="s">
        <v>28</v>
      </c>
    </row>
    <row r="2" spans="1:14">
      <c r="A2">
        <v>2020</v>
      </c>
      <c r="B2" t="s">
        <v>116</v>
      </c>
      <c r="C2" t="s">
        <v>4</v>
      </c>
      <c r="D2">
        <v>6.3299999999999995E-2</v>
      </c>
      <c r="E2">
        <v>7.0400000000000004E-2</v>
      </c>
      <c r="F2" t="s">
        <v>243</v>
      </c>
      <c r="J2" s="3"/>
      <c r="K2" s="3"/>
    </row>
    <row r="3" spans="1:14">
      <c r="A3">
        <v>2021</v>
      </c>
      <c r="B3" t="s">
        <v>116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116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116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116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116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116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116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116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116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116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116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116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116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116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116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116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116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116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116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116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116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116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116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116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116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116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116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116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116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116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71</v>
      </c>
      <c r="C33" t="s">
        <v>7</v>
      </c>
      <c r="D33">
        <v>0</v>
      </c>
      <c r="E33">
        <v>0.161</v>
      </c>
      <c r="F33" t="s">
        <v>244</v>
      </c>
    </row>
    <row r="34" spans="1:6">
      <c r="A34">
        <v>2021</v>
      </c>
      <c r="B34" t="s">
        <v>71</v>
      </c>
      <c r="C34" t="s">
        <v>7</v>
      </c>
      <c r="D34">
        <v>0</v>
      </c>
      <c r="E34">
        <v>0.161</v>
      </c>
    </row>
    <row r="35" spans="1:6">
      <c r="A35">
        <v>2022</v>
      </c>
      <c r="B35" t="s">
        <v>71</v>
      </c>
      <c r="C35" t="s">
        <v>7</v>
      </c>
      <c r="D35">
        <v>0</v>
      </c>
      <c r="E35">
        <v>0.161</v>
      </c>
    </row>
    <row r="36" spans="1:6">
      <c r="A36">
        <v>2023</v>
      </c>
      <c r="B36" t="s">
        <v>71</v>
      </c>
      <c r="C36" t="s">
        <v>7</v>
      </c>
      <c r="D36">
        <v>0</v>
      </c>
      <c r="E36">
        <v>0.161</v>
      </c>
    </row>
    <row r="37" spans="1:6">
      <c r="A37">
        <v>2024</v>
      </c>
      <c r="B37" t="s">
        <v>71</v>
      </c>
      <c r="C37" t="s">
        <v>7</v>
      </c>
      <c r="D37">
        <v>0</v>
      </c>
      <c r="E37">
        <v>0.161</v>
      </c>
    </row>
    <row r="38" spans="1:6">
      <c r="A38">
        <v>2025</v>
      </c>
      <c r="B38" t="s">
        <v>71</v>
      </c>
      <c r="C38" t="s">
        <v>7</v>
      </c>
      <c r="D38">
        <v>0</v>
      </c>
      <c r="E38">
        <v>0.161</v>
      </c>
    </row>
    <row r="39" spans="1:6">
      <c r="A39">
        <v>2026</v>
      </c>
      <c r="B39" t="s">
        <v>71</v>
      </c>
      <c r="C39" t="s">
        <v>7</v>
      </c>
      <c r="D39">
        <v>0</v>
      </c>
      <c r="E39">
        <v>0.161</v>
      </c>
    </row>
    <row r="40" spans="1:6">
      <c r="A40">
        <v>2027</v>
      </c>
      <c r="B40" t="s">
        <v>71</v>
      </c>
      <c r="C40" t="s">
        <v>7</v>
      </c>
      <c r="D40">
        <v>0</v>
      </c>
      <c r="E40">
        <v>0.161</v>
      </c>
    </row>
    <row r="41" spans="1:6">
      <c r="A41">
        <v>2028</v>
      </c>
      <c r="B41" t="s">
        <v>71</v>
      </c>
      <c r="C41" t="s">
        <v>7</v>
      </c>
      <c r="D41">
        <v>0</v>
      </c>
      <c r="E41">
        <v>0.161</v>
      </c>
    </row>
    <row r="42" spans="1:6">
      <c r="A42">
        <v>2029</v>
      </c>
      <c r="B42" t="s">
        <v>71</v>
      </c>
      <c r="C42" t="s">
        <v>7</v>
      </c>
      <c r="D42">
        <v>0</v>
      </c>
      <c r="E42">
        <v>0.161</v>
      </c>
    </row>
    <row r="43" spans="1:6">
      <c r="A43">
        <v>2030</v>
      </c>
      <c r="B43" t="s">
        <v>71</v>
      </c>
      <c r="C43" t="s">
        <v>7</v>
      </c>
      <c r="D43">
        <v>0</v>
      </c>
      <c r="E43">
        <v>0.161</v>
      </c>
    </row>
    <row r="44" spans="1:6">
      <c r="A44">
        <v>2031</v>
      </c>
      <c r="B44" t="s">
        <v>71</v>
      </c>
      <c r="C44" t="s">
        <v>7</v>
      </c>
      <c r="D44">
        <v>0</v>
      </c>
      <c r="E44">
        <v>0.161</v>
      </c>
    </row>
    <row r="45" spans="1:6">
      <c r="A45">
        <v>2032</v>
      </c>
      <c r="B45" t="s">
        <v>71</v>
      </c>
      <c r="C45" t="s">
        <v>7</v>
      </c>
      <c r="D45">
        <v>0</v>
      </c>
      <c r="E45">
        <v>0.161</v>
      </c>
    </row>
    <row r="46" spans="1:6">
      <c r="A46">
        <v>2033</v>
      </c>
      <c r="B46" t="s">
        <v>71</v>
      </c>
      <c r="C46" t="s">
        <v>7</v>
      </c>
      <c r="D46">
        <v>0</v>
      </c>
      <c r="E46">
        <v>0.161</v>
      </c>
    </row>
    <row r="47" spans="1:6">
      <c r="A47">
        <v>2034</v>
      </c>
      <c r="B47" t="s">
        <v>71</v>
      </c>
      <c r="C47" t="s">
        <v>7</v>
      </c>
      <c r="D47">
        <v>0</v>
      </c>
      <c r="E47">
        <v>0.161</v>
      </c>
    </row>
    <row r="48" spans="1:6">
      <c r="A48">
        <v>2035</v>
      </c>
      <c r="B48" t="s">
        <v>71</v>
      </c>
      <c r="C48" t="s">
        <v>7</v>
      </c>
      <c r="D48">
        <v>0</v>
      </c>
      <c r="E48">
        <v>0.161</v>
      </c>
    </row>
    <row r="49" spans="1:5">
      <c r="A49">
        <v>2036</v>
      </c>
      <c r="B49" t="s">
        <v>71</v>
      </c>
      <c r="C49" t="s">
        <v>7</v>
      </c>
      <c r="D49">
        <v>0</v>
      </c>
      <c r="E49">
        <v>0.161</v>
      </c>
    </row>
    <row r="50" spans="1:5">
      <c r="A50">
        <v>2037</v>
      </c>
      <c r="B50" t="s">
        <v>71</v>
      </c>
      <c r="C50" t="s">
        <v>7</v>
      </c>
      <c r="D50">
        <v>0</v>
      </c>
      <c r="E50">
        <v>0.161</v>
      </c>
    </row>
    <row r="51" spans="1:5">
      <c r="A51">
        <v>2038</v>
      </c>
      <c r="B51" t="s">
        <v>71</v>
      </c>
      <c r="C51" t="s">
        <v>7</v>
      </c>
      <c r="D51">
        <v>0</v>
      </c>
      <c r="E51">
        <v>0.161</v>
      </c>
    </row>
    <row r="52" spans="1:5">
      <c r="A52">
        <v>2039</v>
      </c>
      <c r="B52" t="s">
        <v>71</v>
      </c>
      <c r="C52" t="s">
        <v>7</v>
      </c>
      <c r="D52">
        <v>0</v>
      </c>
      <c r="E52">
        <v>0.161</v>
      </c>
    </row>
    <row r="53" spans="1:5">
      <c r="A53">
        <v>2040</v>
      </c>
      <c r="B53" t="s">
        <v>71</v>
      </c>
      <c r="C53" t="s">
        <v>7</v>
      </c>
      <c r="D53">
        <v>0</v>
      </c>
      <c r="E53">
        <v>0.161</v>
      </c>
    </row>
    <row r="54" spans="1:5">
      <c r="A54">
        <v>2041</v>
      </c>
      <c r="B54" t="s">
        <v>71</v>
      </c>
      <c r="C54" t="s">
        <v>7</v>
      </c>
      <c r="D54">
        <v>0</v>
      </c>
      <c r="E54">
        <v>0.161</v>
      </c>
    </row>
    <row r="55" spans="1:5">
      <c r="A55">
        <v>2042</v>
      </c>
      <c r="B55" t="s">
        <v>71</v>
      </c>
      <c r="C55" t="s">
        <v>7</v>
      </c>
      <c r="D55">
        <v>0</v>
      </c>
      <c r="E55">
        <v>0.161</v>
      </c>
    </row>
    <row r="56" spans="1:5">
      <c r="A56">
        <v>2043</v>
      </c>
      <c r="B56" t="s">
        <v>71</v>
      </c>
      <c r="C56" t="s">
        <v>7</v>
      </c>
      <c r="D56">
        <v>0</v>
      </c>
      <c r="E56">
        <v>0.161</v>
      </c>
    </row>
    <row r="57" spans="1:5">
      <c r="A57">
        <v>2044</v>
      </c>
      <c r="B57" t="s">
        <v>71</v>
      </c>
      <c r="C57" t="s">
        <v>7</v>
      </c>
      <c r="D57">
        <v>0</v>
      </c>
      <c r="E57">
        <v>0.161</v>
      </c>
    </row>
    <row r="58" spans="1:5">
      <c r="A58">
        <v>2045</v>
      </c>
      <c r="B58" t="s">
        <v>71</v>
      </c>
      <c r="C58" t="s">
        <v>7</v>
      </c>
      <c r="D58">
        <v>0</v>
      </c>
      <c r="E58">
        <v>0.161</v>
      </c>
    </row>
    <row r="59" spans="1:5">
      <c r="A59">
        <v>2046</v>
      </c>
      <c r="B59" t="s">
        <v>71</v>
      </c>
      <c r="C59" t="s">
        <v>7</v>
      </c>
      <c r="D59">
        <v>0</v>
      </c>
      <c r="E59">
        <v>0.161</v>
      </c>
    </row>
    <row r="60" spans="1:5">
      <c r="A60">
        <v>2047</v>
      </c>
      <c r="B60" t="s">
        <v>71</v>
      </c>
      <c r="C60" t="s">
        <v>7</v>
      </c>
      <c r="D60">
        <v>0</v>
      </c>
      <c r="E60">
        <v>0.161</v>
      </c>
    </row>
    <row r="61" spans="1:5">
      <c r="A61">
        <v>2048</v>
      </c>
      <c r="B61" t="s">
        <v>71</v>
      </c>
      <c r="C61" t="s">
        <v>7</v>
      </c>
      <c r="D61">
        <v>0</v>
      </c>
      <c r="E61">
        <v>0.161</v>
      </c>
    </row>
    <row r="62" spans="1:5">
      <c r="A62">
        <v>2049</v>
      </c>
      <c r="B62" t="s">
        <v>71</v>
      </c>
      <c r="C62" t="s">
        <v>7</v>
      </c>
      <c r="D62">
        <v>0</v>
      </c>
      <c r="E62">
        <v>0.161</v>
      </c>
    </row>
    <row r="63" spans="1:5">
      <c r="A63">
        <v>2050</v>
      </c>
      <c r="B63" t="s">
        <v>71</v>
      </c>
      <c r="C63" t="s">
        <v>7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8"/>
  <sheetViews>
    <sheetView workbookViewId="0">
      <selection activeCell="D15" sqref="D15"/>
    </sheetView>
  </sheetViews>
  <sheetFormatPr defaultRowHeight="14.4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3" width="9.42578125" bestFit="1" customWidth="1"/>
    <col min="14" max="15" width="9.42578125" customWidth="1"/>
  </cols>
  <sheetData>
    <row r="1" spans="1:76">
      <c r="A1" s="6" t="s">
        <v>245</v>
      </c>
      <c r="B1" s="1" t="s">
        <v>29</v>
      </c>
      <c r="C1" s="1" t="s">
        <v>35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246</v>
      </c>
      <c r="B2" t="s">
        <v>65</v>
      </c>
      <c r="C2" t="s">
        <v>57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</row>
    <row r="3" spans="1:76">
      <c r="A3" t="s">
        <v>246</v>
      </c>
      <c r="B3" t="s">
        <v>56</v>
      </c>
      <c r="C3" t="s">
        <v>57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179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247</v>
      </c>
      <c r="B4" t="s">
        <v>130</v>
      </c>
      <c r="C4" t="s">
        <v>131</v>
      </c>
      <c r="P4" t="s">
        <v>179</v>
      </c>
    </row>
    <row r="5" spans="1:76">
      <c r="A5" t="s">
        <v>248</v>
      </c>
      <c r="B5" t="s">
        <v>102</v>
      </c>
      <c r="C5" t="s">
        <v>103</v>
      </c>
      <c r="E5" t="s">
        <v>179</v>
      </c>
    </row>
    <row r="6" spans="1:76">
      <c r="A6" t="s">
        <v>248</v>
      </c>
      <c r="B6" t="s">
        <v>110</v>
      </c>
      <c r="C6" t="s">
        <v>103</v>
      </c>
      <c r="E6" t="s">
        <v>179</v>
      </c>
    </row>
    <row r="7" spans="1:76">
      <c r="A7" t="s">
        <v>248</v>
      </c>
      <c r="B7" t="s">
        <v>73</v>
      </c>
      <c r="C7" t="s">
        <v>249</v>
      </c>
      <c r="Q7" s="2" t="s">
        <v>179</v>
      </c>
    </row>
    <row r="8" spans="1:76">
      <c r="A8" t="s">
        <v>248</v>
      </c>
      <c r="B8" t="s">
        <v>80</v>
      </c>
      <c r="C8" t="s">
        <v>81</v>
      </c>
      <c r="F8" s="2" t="s">
        <v>179</v>
      </c>
      <c r="G8" s="2"/>
      <c r="H8" s="2"/>
      <c r="I8" s="2"/>
      <c r="J8" s="2"/>
    </row>
    <row r="9" spans="1:76">
      <c r="A9" t="s">
        <v>250</v>
      </c>
      <c r="B9" t="s">
        <v>124</v>
      </c>
      <c r="C9" t="s">
        <v>81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251</v>
      </c>
      <c r="B10" t="s">
        <v>96</v>
      </c>
      <c r="C10" t="s">
        <v>57</v>
      </c>
      <c r="D10" s="2" t="s">
        <v>179</v>
      </c>
      <c r="E10" s="2"/>
      <c r="V10" s="2"/>
    </row>
    <row r="11" spans="1:76">
      <c r="A11" s="41" t="s">
        <v>250</v>
      </c>
      <c r="B11" s="41" t="s">
        <v>87</v>
      </c>
      <c r="C11" t="s">
        <v>81</v>
      </c>
      <c r="L11">
        <v>2801212.23</v>
      </c>
      <c r="M11">
        <v>3892103.6599999988</v>
      </c>
    </row>
    <row r="12" spans="1:76">
      <c r="A12" s="41" t="s">
        <v>252</v>
      </c>
      <c r="B12" s="41" t="s">
        <v>146</v>
      </c>
      <c r="C12" t="s">
        <v>81</v>
      </c>
      <c r="M12">
        <v>7782697.8993435437</v>
      </c>
      <c r="O12">
        <v>2448128.931800684</v>
      </c>
      <c r="Q12">
        <v>14305.516905795783</v>
      </c>
      <c r="R12">
        <v>1039.217560492456</v>
      </c>
      <c r="S12">
        <v>419.54490841180086</v>
      </c>
    </row>
    <row r="13" spans="1:76">
      <c r="A13" s="41"/>
      <c r="B13" s="41" t="s">
        <v>15</v>
      </c>
      <c r="C13" t="s">
        <v>253</v>
      </c>
      <c r="D13" t="s">
        <v>179</v>
      </c>
    </row>
    <row r="14" spans="1:76">
      <c r="A14" s="41" t="s">
        <v>254</v>
      </c>
      <c r="B14" s="41" t="s">
        <v>149</v>
      </c>
      <c r="C14" t="s">
        <v>81</v>
      </c>
      <c r="M14" s="27">
        <v>1472429</v>
      </c>
    </row>
    <row r="15" spans="1:76">
      <c r="A15" s="41" t="s">
        <v>254</v>
      </c>
      <c r="B15" s="41" t="s">
        <v>90</v>
      </c>
      <c r="C15" t="s">
        <v>81</v>
      </c>
      <c r="H15" s="15"/>
      <c r="L15" s="27">
        <v>1594928</v>
      </c>
      <c r="M15" s="27">
        <v>5174861</v>
      </c>
      <c r="N15" s="27">
        <v>0</v>
      </c>
      <c r="O15" s="27">
        <v>1393893</v>
      </c>
      <c r="P15" s="27">
        <v>0</v>
      </c>
      <c r="Q15" s="27">
        <v>8145</v>
      </c>
      <c r="R15" s="27">
        <v>592</v>
      </c>
      <c r="S15" s="27">
        <v>239</v>
      </c>
    </row>
    <row r="16" spans="1:76">
      <c r="A16" s="41"/>
      <c r="B16" s="41"/>
    </row>
    <row r="17" spans="1:14">
      <c r="A17" s="41"/>
      <c r="B17" s="41"/>
      <c r="H17" s="15"/>
      <c r="M17" s="5"/>
      <c r="N17" s="5"/>
    </row>
    <row r="18" spans="1:14">
      <c r="A18" s="41"/>
      <c r="B18" s="41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72E330-0239-4D1C-9530-C2F3E24E1659}"/>
</file>

<file path=customXml/itemProps2.xml><?xml version="1.0" encoding="utf-8"?>
<ds:datastoreItem xmlns:ds="http://schemas.openxmlformats.org/officeDocument/2006/customXml" ds:itemID="{9A2335A3-4EFE-4C09-BDFA-4C97CB315D2F}"/>
</file>

<file path=customXml/itemProps3.xml><?xml version="1.0" encoding="utf-8"?>
<ds:datastoreItem xmlns:ds="http://schemas.openxmlformats.org/officeDocument/2006/customXml" ds:itemID="{FD78ADC7-C005-422A-8658-836E3C660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2022-03-22T21:00:26Z</dcterms:created>
  <dcterms:modified xsi:type="dcterms:W3CDTF">2024-04-09T15:28:37Z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