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3" activeTab="11"/>
  </bookViews>
  <sheets>
    <sheet name="2-1" sheetId="1" r:id="rId1"/>
    <sheet name="2-2" sheetId="2" r:id="rId2"/>
    <sheet name="2-3" sheetId="3" r:id="rId3"/>
    <sheet name="2-4" sheetId="4" r:id="rId4"/>
    <sheet name="2-5" sheetId="5" r:id="rId5"/>
    <sheet name="2-6" sheetId="6" r:id="rId6"/>
    <sheet name="2-7" sheetId="7" r:id="rId7"/>
    <sheet name="2-8" sheetId="8" r:id="rId8"/>
    <sheet name="2-9" sheetId="9" r:id="rId9"/>
    <sheet name="2-10" sheetId="10" r:id="rId10"/>
    <sheet name="2-11" sheetId="11" r:id="rId11"/>
    <sheet name="2-12" sheetId="12" r:id="rId12"/>
    <sheet name="2-13" sheetId="13" r:id="rId13"/>
  </sheets>
  <definedNames/>
  <calcPr fullCalcOnLoad="1"/>
</workbook>
</file>

<file path=xl/sharedStrings.xml><?xml version="1.0" encoding="utf-8"?>
<sst xmlns="http://schemas.openxmlformats.org/spreadsheetml/2006/main" count="549" uniqueCount="225">
  <si>
    <t xml:space="preserve"> Process</t>
  </si>
  <si>
    <t xml:space="preserve"> Pollutants</t>
  </si>
  <si>
    <t>Primary EF Sources</t>
  </si>
  <si>
    <t xml:space="preserve"> Selection</t>
  </si>
  <si>
    <t xml:space="preserve"> Final Units</t>
  </si>
  <si>
    <t xml:space="preserve"> GMAW</t>
  </si>
  <si>
    <t xml:space="preserve"> Cr, Ni, Pb</t>
  </si>
  <si>
    <t xml:space="preserve"> Grouped electrodes
 by base metal</t>
  </si>
  <si>
    <t xml:space="preserve"> Highest EF for
 each base metal</t>
  </si>
  <si>
    <r>
      <t>10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lb/10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lb
electrode</t>
    </r>
  </si>
  <si>
    <t xml:space="preserve"> SMAW</t>
  </si>
  <si>
    <t xml:space="preserve"> FCAW</t>
  </si>
  <si>
    <r>
      <t xml:space="preserve"> </t>
    </r>
    <r>
      <rPr>
        <i/>
        <sz val="10"/>
        <rFont val="Times New Roman"/>
        <family val="1"/>
      </rPr>
      <t>AP-42</t>
    </r>
    <r>
      <rPr>
        <sz val="10"/>
        <rFont val="Times New Roman"/>
        <family val="1"/>
      </rPr>
      <t>;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 Gerstle et al., 1993</t>
    </r>
  </si>
  <si>
    <t xml:space="preserve"> Zn</t>
  </si>
  <si>
    <t xml:space="preserve"> Gerstle et al., 1993</t>
  </si>
  <si>
    <t xml:space="preserve"> Deduced base metal
 type; converted units</t>
  </si>
  <si>
    <t>GTAW</t>
  </si>
  <si>
    <t xml:space="preserve"> </t>
  </si>
  <si>
    <t xml:space="preserve"> GTAW</t>
  </si>
  <si>
    <t xml:space="preserve"> PAW</t>
  </si>
  <si>
    <t xml:space="preserve"> OXY</t>
  </si>
  <si>
    <t xml:space="preserve"> Cr, Ni, Zn</t>
  </si>
  <si>
    <t xml:space="preserve"> Jacobs et al., 1995</t>
  </si>
  <si>
    <t xml:space="preserve"> Multiplied fume
 generation rate by
 toxic metal fractions</t>
  </si>
  <si>
    <t xml:space="preserve"> Assumed same as GTAW</t>
  </si>
  <si>
    <t xml:space="preserve"> Used all available
 emission factors</t>
  </si>
  <si>
    <t>g/min</t>
  </si>
  <si>
    <t xml:space="preserve"> Highest EF when
 more than one
 available</t>
  </si>
  <si>
    <t xml:space="preserve"> Data Processing</t>
  </si>
  <si>
    <t>GMAW</t>
  </si>
  <si>
    <t>Mild Steel</t>
  </si>
  <si>
    <t>Stainless Steel</t>
  </si>
  <si>
    <t>Aluminum</t>
  </si>
  <si>
    <t>Other</t>
  </si>
  <si>
    <t>SMAW</t>
  </si>
  <si>
    <t>FCAW</t>
  </si>
  <si>
    <t xml:space="preserve"> Facility</t>
  </si>
  <si>
    <t>Year
of Tests</t>
  </si>
  <si>
    <t xml:space="preserve"> Spray Process</t>
  </si>
  <si>
    <t xml:space="preserve"> Emission Controls</t>
  </si>
  <si>
    <t xml:space="preserve"> Material Sprayed</t>
  </si>
  <si>
    <t>No. of
Runs</t>
  </si>
  <si>
    <t>Metals</t>
  </si>
  <si>
    <t xml:space="preserve"> Reference</t>
  </si>
  <si>
    <t xml:space="preserve"> ARC West</t>
  </si>
  <si>
    <t xml:space="preserve"> Plasma Arc Spray</t>
  </si>
  <si>
    <t xml:space="preserve"> Cyclone
 Cartridge Dust Collector
 HEPA</t>
  </si>
  <si>
    <t xml:space="preserve"> Chromium oxide powder</t>
  </si>
  <si>
    <t>Cr</t>
  </si>
  <si>
    <t xml:space="preserve"> PES, 1990</t>
  </si>
  <si>
    <t xml:space="preserve"> Douglas Aircraft</t>
  </si>
  <si>
    <t xml:space="preserve"> Water Wall Spray Booth</t>
  </si>
  <si>
    <t xml:space="preserve"> Unknown; spray onto nichrome
 or stainless steel</t>
  </si>
  <si>
    <t xml:space="preserve"> ES, 1989</t>
  </si>
  <si>
    <t xml:space="preserve"> Long Beach Naval Shipyard</t>
  </si>
  <si>
    <t xml:space="preserve"> Metal Plasma Spray</t>
  </si>
  <si>
    <t xml:space="preserve"> Spray Booth</t>
  </si>
  <si>
    <t>Cr, Ni</t>
  </si>
  <si>
    <t xml:space="preserve"> CTL, 1987</t>
  </si>
  <si>
    <t xml:space="preserve"> Metalizing Service Contractors</t>
  </si>
  <si>
    <t xml:space="preserve"> Nickel-chrome powder or
 chromium dioxide powder</t>
  </si>
  <si>
    <t xml:space="preserve"> PES, 1989</t>
  </si>
  <si>
    <t xml:space="preserve"> North Island Naval Station</t>
  </si>
  <si>
    <t xml:space="preserve"> Uncontrolled or Wet Scrubber</t>
  </si>
  <si>
    <t xml:space="preserve"> Metco 443 or Metco 312</t>
  </si>
  <si>
    <t xml:space="preserve"> PES, 1991</t>
  </si>
  <si>
    <t xml:space="preserve"> Plasma Technology Inc.</t>
  </si>
  <si>
    <t xml:space="preserve"> Chromic oxide powder
 or nickel-chrome powder</t>
  </si>
  <si>
    <t xml:space="preserve"> ABB, 1990</t>
  </si>
  <si>
    <r>
      <t xml:space="preserve"> Cr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and CrNi</t>
    </r>
  </si>
  <si>
    <t>Welding
Method</t>
  </si>
  <si>
    <t xml:space="preserve"> Type of Metal Welded</t>
  </si>
  <si>
    <t xml:space="preserve"> Mild Steel</t>
  </si>
  <si>
    <t xml:space="preserve"> Stainless Steel</t>
  </si>
  <si>
    <t xml:space="preserve"> Aluminum</t>
  </si>
  <si>
    <t xml:space="preserve"> Other</t>
  </si>
  <si>
    <t xml:space="preserve"> Electrodes Used</t>
  </si>
  <si>
    <t xml:space="preserve"> E70S</t>
  </si>
  <si>
    <t xml:space="preserve"> E308, ER316</t>
  </si>
  <si>
    <t xml:space="preserve"> ER1260, ER5154</t>
  </si>
  <si>
    <t xml:space="preserve"> ERNiCrMo, ERNiCu</t>
  </si>
  <si>
    <t xml:space="preserve"> E310</t>
  </si>
  <si>
    <t xml:space="preserve"> E410</t>
  </si>
  <si>
    <t xml:space="preserve"> Eni-Cl, EniCrMo, Eni-Cu-2, ECoCr</t>
  </si>
  <si>
    <t xml:space="preserve"> E70T, E71T</t>
  </si>
  <si>
    <t xml:space="preserve"> No data</t>
  </si>
  <si>
    <t xml:space="preserve"> E6010, E6011, E6012, E6013, E7018,
 E7024, E7028, E8018</t>
  </si>
  <si>
    <t xml:space="preserve"> High-Temperature
 Stainless Steel</t>
  </si>
  <si>
    <t>Electrode
Type</t>
  </si>
  <si>
    <t xml:space="preserve"> E70S-3</t>
  </si>
  <si>
    <t xml:space="preserve"> E70S-6</t>
  </si>
  <si>
    <t xml:space="preserve"> E308LSi</t>
  </si>
  <si>
    <t xml:space="preserve"> E70T-1</t>
  </si>
  <si>
    <t xml:space="preserve"> E71T-1</t>
  </si>
  <si>
    <t xml:space="preserve"> E6010(A)</t>
  </si>
  <si>
    <t xml:space="preserve"> E6010(B)</t>
  </si>
  <si>
    <t xml:space="preserve"> E6011</t>
  </si>
  <si>
    <t xml:space="preserve"> E6013</t>
  </si>
  <si>
    <t xml:space="preserve"> E308-16</t>
  </si>
  <si>
    <t xml:space="preserve"> E7018</t>
  </si>
  <si>
    <r>
      <t>Fume
Generation
Rate</t>
    </r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
(lb/100 lb)</t>
    </r>
  </si>
  <si>
    <r>
      <t>Zinc as
Percent of
Total Fume</t>
    </r>
    <r>
      <rPr>
        <vertAlign val="superscript"/>
        <sz val="12"/>
        <rFont val="Times New Roman"/>
        <family val="1"/>
      </rPr>
      <t>a</t>
    </r>
  </si>
  <si>
    <r>
      <t>Emission Factor</t>
    </r>
    <r>
      <rPr>
        <vertAlign val="superscript"/>
        <sz val="12"/>
        <rFont val="Times New Roman"/>
        <family val="1"/>
      </rPr>
      <t>b</t>
    </r>
    <r>
      <rPr>
        <sz val="12"/>
        <rFont val="Times New Roman"/>
        <family val="1"/>
      </rPr>
      <t xml:space="preserve">
(10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lb/10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lb
Electrode
Consumed)</t>
    </r>
  </si>
  <si>
    <r>
      <t xml:space="preserve"> 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Data from Gerstle et al., 1993.</t>
    </r>
  </si>
  <si>
    <r>
      <t xml:space="preserve"> 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>Calculated for this project.</t>
    </r>
  </si>
  <si>
    <t>Chromium</t>
  </si>
  <si>
    <t>Nickel</t>
  </si>
  <si>
    <t>Zinc</t>
  </si>
  <si>
    <t>Oxyacetylene</t>
  </si>
  <si>
    <t>Fume
Generation
Rate
(g/min)</t>
  </si>
  <si>
    <t xml:space="preserve"> Oxyacetylene</t>
  </si>
  <si>
    <t>Fume Composition
(Percent by Weight)</t>
  </si>
  <si>
    <t xml:space="preserve"> Source: Jacobs et al., 1995.</t>
  </si>
  <si>
    <t xml:space="preserve"> Material Welded/Electrode Type</t>
  </si>
  <si>
    <t xml:space="preserve"> Stainless Steel/SS Welding Rod</t>
  </si>
  <si>
    <t xml:space="preserve"> Aluminum/Aluminum Welding Rod</t>
  </si>
  <si>
    <t xml:space="preserve"> Titanium/Titanium Filler Wire</t>
  </si>
  <si>
    <t xml:space="preserve"> Inconel/Inconel Filler Wire</t>
  </si>
  <si>
    <t xml:space="preserve"> Cobalt/Cobalt Filler Wire</t>
  </si>
  <si>
    <t xml:space="preserve"> Mg/Mg Filler</t>
  </si>
  <si>
    <t xml:space="preserve"> Carbon Steel/Mild Steel Welding Rod</t>
  </si>
  <si>
    <t xml:space="preserve"> 4130 Steel/4130 Filler Wire</t>
  </si>
  <si>
    <t xml:space="preserve"> Material Cut</t>
  </si>
  <si>
    <t xml:space="preserve"> Copper Clad Rods</t>
  </si>
  <si>
    <t xml:space="preserve"> 1040 Carbon Steel</t>
  </si>
  <si>
    <t xml:space="preserve"> Steel Plate</t>
  </si>
  <si>
    <t xml:space="preserve"> 6061 Aluminum</t>
  </si>
  <si>
    <t>Case
No.</t>
  </si>
  <si>
    <t xml:space="preserve"> Controls</t>
  </si>
  <si>
    <t>Pct Cr in
Powder</t>
  </si>
  <si>
    <t>Powder Spray
Rate (lb/hr)</t>
  </si>
  <si>
    <t>Total Chrome
Emissions
(mg/hr)</t>
  </si>
  <si>
    <t>Hex Chrome
Emissions
(mg/hr)</t>
  </si>
  <si>
    <t>Total Chrome
EF (lb/lb)</t>
  </si>
  <si>
    <t>Hex Chrome
EF (lb/lb)</t>
  </si>
  <si>
    <t xml:space="preserve"> Chromium oxide</t>
  </si>
  <si>
    <t xml:space="preserve"> Unknown; spray
 onto nichrome</t>
  </si>
  <si>
    <t xml:space="preserve"> Unknown; spray
 onto stainless steel</t>
  </si>
  <si>
    <t>N/A</t>
  </si>
  <si>
    <t xml:space="preserve"> Chromic oxide</t>
  </si>
  <si>
    <t xml:space="preserve"> Nickel-chrome</t>
  </si>
  <si>
    <t xml:space="preserve"> Chromium dioxide</t>
  </si>
  <si>
    <t xml:space="preserve"> Uncontrolled</t>
  </si>
  <si>
    <t xml:space="preserve"> Metco 443</t>
  </si>
  <si>
    <t xml:space="preserve"> Wet Scrubber</t>
  </si>
  <si>
    <t xml:space="preserve"> Metco 312</t>
  </si>
  <si>
    <r>
      <t>N/A</t>
    </r>
    <r>
      <rPr>
        <vertAlign val="superscript"/>
        <sz val="10"/>
        <rFont val="Times New Roman"/>
        <family val="1"/>
      </rPr>
      <t>a</t>
    </r>
  </si>
  <si>
    <r>
      <t xml:space="preserve"> 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N/A = Total chromium was not measured in these tests.</t>
    </r>
  </si>
  <si>
    <t>95% Conf. Interval</t>
  </si>
  <si>
    <t xml:space="preserve"> Pollutant</t>
  </si>
  <si>
    <t xml:space="preserve"> Minimum</t>
  </si>
  <si>
    <t xml:space="preserve"> Maximum</t>
  </si>
  <si>
    <t>Median</t>
  </si>
  <si>
    <t>Mean</t>
  </si>
  <si>
    <t>Standard
Deviation</t>
  </si>
  <si>
    <t>Low</t>
  </si>
  <si>
    <t>High</t>
  </si>
  <si>
    <r>
      <t xml:space="preserve"> </t>
    </r>
    <r>
      <rPr>
        <vertAlign val="superscript"/>
        <sz val="12"/>
        <rFont val="Times New Roman"/>
        <family val="1"/>
      </rPr>
      <t>a</t>
    </r>
    <r>
      <rPr>
        <sz val="10"/>
        <rFont val="Times New Roman"/>
        <family val="1"/>
      </rPr>
      <t>Does not include the case with a HEPA filter system.</t>
    </r>
  </si>
  <si>
    <t xml:space="preserve"> Hexavalent Chromium</t>
  </si>
  <si>
    <t xml:space="preserve"> Total Chromium</t>
  </si>
  <si>
    <r>
      <t>Emission Factor (lb per lb element sprayed)</t>
    </r>
    <r>
      <rPr>
        <vertAlign val="superscript"/>
        <sz val="12"/>
        <rFont val="Times New Roman"/>
        <family val="1"/>
      </rPr>
      <t>a</t>
    </r>
  </si>
  <si>
    <t>Pct Ni in
Powder</t>
  </si>
  <si>
    <t>Nickel
Emissions
(mg/hr)</t>
  </si>
  <si>
    <t>Nickel
EF (lb/lb)</t>
  </si>
  <si>
    <t xml:space="preserve"> CrNi</t>
  </si>
  <si>
    <t xml:space="preserve"> Nickel-chrome powder</t>
  </si>
  <si>
    <t xml:space="preserve"> Metco 450 powder (Al &amp; Ni)</t>
  </si>
  <si>
    <t>Lead</t>
  </si>
  <si>
    <t>Welding
Technique</t>
  </si>
  <si>
    <t xml:space="preserve"> High Temperature Stainless Steel</t>
  </si>
  <si>
    <r>
      <t>Emission Factor (10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lb/10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lb Electrode Consumed</t>
    </r>
  </si>
  <si>
    <r>
      <t xml:space="preserve"> 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NA = No emission factor available.</t>
    </r>
  </si>
  <si>
    <t>NA</t>
  </si>
  <si>
    <r>
      <t>NA</t>
    </r>
    <r>
      <rPr>
        <vertAlign val="superscript"/>
        <sz val="10"/>
        <rFont val="Times New Roman"/>
        <family val="1"/>
      </rPr>
      <t>a</t>
    </r>
  </si>
  <si>
    <t>Emission Factor (g/min)</t>
  </si>
  <si>
    <t>&amp; PAW</t>
  </si>
  <si>
    <t>Emission Factors (g/min)</t>
  </si>
  <si>
    <t>Cadmium</t>
  </si>
  <si>
    <t xml:space="preserve"> Cutting
 Method</t>
  </si>
  <si>
    <t xml:space="preserve"> CAC-A</t>
  </si>
  <si>
    <t xml:space="preserve"> GMAC</t>
  </si>
  <si>
    <t xml:space="preserve"> OAC</t>
  </si>
  <si>
    <t xml:space="preserve"> CAC</t>
  </si>
  <si>
    <t xml:space="preserve"> Laser</t>
  </si>
  <si>
    <t xml:space="preserve"> PAC</t>
  </si>
  <si>
    <t xml:space="preserve"> Metal Cut</t>
  </si>
  <si>
    <t xml:space="preserve"> All</t>
  </si>
  <si>
    <t xml:space="preserve"> All Others</t>
  </si>
  <si>
    <t>Lb Metal per lb Element Sprayed</t>
  </si>
  <si>
    <t xml:space="preserve"> HEPA Filter</t>
  </si>
  <si>
    <t>&lt;5</t>
  </si>
  <si>
    <t>NR</t>
  </si>
  <si>
    <t>&lt;9</t>
  </si>
  <si>
    <t>&lt;3</t>
  </si>
  <si>
    <t>&lt;4</t>
  </si>
  <si>
    <t xml:space="preserve"> Electrode</t>
  </si>
  <si>
    <t xml:space="preserve"> E11018</t>
  </si>
  <si>
    <t xml:space="preserve"> E308</t>
  </si>
  <si>
    <t xml:space="preserve"> E316</t>
  </si>
  <si>
    <t xml:space="preserve"> E6010</t>
  </si>
  <si>
    <t xml:space="preserve"> E6012</t>
  </si>
  <si>
    <t xml:space="preserve"> E7024</t>
  </si>
  <si>
    <t xml:space="preserve"> E7028</t>
  </si>
  <si>
    <t xml:space="preserve"> E8018</t>
  </si>
  <si>
    <t xml:space="preserve"> E9018</t>
  </si>
  <si>
    <t xml:space="preserve"> ER316</t>
  </si>
  <si>
    <t xml:space="preserve"> E110</t>
  </si>
  <si>
    <t xml:space="preserve"> E70T</t>
  </si>
  <si>
    <t xml:space="preserve"> E71T</t>
  </si>
  <si>
    <t>Weight Percentage</t>
  </si>
  <si>
    <t>18 - 22</t>
  </si>
  <si>
    <t>25 - 29</t>
  </si>
  <si>
    <t>18 - 20</t>
  </si>
  <si>
    <t>10 - 25</t>
  </si>
  <si>
    <t>10 - 32</t>
  </si>
  <si>
    <t>9 - 12</t>
  </si>
  <si>
    <t>20 - 23</t>
  </si>
  <si>
    <t>11 - 14</t>
  </si>
  <si>
    <t>0 - 30</t>
  </si>
  <si>
    <t>0 - 37</t>
  </si>
  <si>
    <r>
      <t>NR</t>
    </r>
    <r>
      <rPr>
        <vertAlign val="superscript"/>
        <sz val="12"/>
        <rFont val="Times New Roman"/>
        <family val="1"/>
      </rPr>
      <t xml:space="preserve">a </t>
    </r>
  </si>
  <si>
    <r>
      <t xml:space="preserve"> 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NR = MSDS does not report this element in the electrode's composition.</t>
    </r>
  </si>
  <si>
    <r>
      <t>Total
Chromium</t>
    </r>
    <r>
      <rPr>
        <vertAlign val="superscript"/>
        <sz val="12"/>
        <rFont val="Times New Roman"/>
        <family val="1"/>
      </rPr>
      <t>a</t>
    </r>
  </si>
  <si>
    <r>
      <t xml:space="preserve"> 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Uncontrolled and spray booth emission factors are essentially</t>
    </r>
  </si>
  <si>
    <t xml:space="preserve">  the same; one wet scrubber included in the data set.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</si>
</sst>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00"/>
    <numFmt numFmtId="170" formatCode="0.000000"/>
    <numFmt numFmtId="171" formatCode="0.000E+00"/>
    <numFmt numFmtId="172" formatCode="0.0E+00"/>
    <numFmt numFmtId="173" formatCode="#,##0.000_);\(#,##0.000\)"/>
    <numFmt numFmtId="174" formatCode="#,##0.0_);\(#,##0.0\)"/>
    <numFmt numFmtId="175" formatCode="#,##0.0000_);\(#,##0.0000\)"/>
    <numFmt numFmtId="176" formatCode="#,##0.00000_);\(#,##0.00000\)"/>
    <numFmt numFmtId="177" formatCode="#,##0.000000_);\(#,##0.000000\)"/>
  </numFmts>
  <fonts count="7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thick"/>
      <top style="double"/>
      <bottom style="hair"/>
    </border>
    <border>
      <left style="thick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ck"/>
      <top style="hair"/>
      <bottom style="hair"/>
    </border>
    <border>
      <left style="thin"/>
      <right style="thin"/>
      <top style="hair"/>
      <bottom style="thick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thin"/>
      <top>
        <color indexed="63"/>
      </top>
      <bottom style="hair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ck"/>
      <top style="medium"/>
      <bottom style="hair"/>
    </border>
    <border>
      <left style="thick"/>
      <right style="medium"/>
      <top>
        <color indexed="63"/>
      </top>
      <bottom style="hair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ck"/>
      <bottom style="hair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4" xfId="0" applyFont="1" applyBorder="1" applyAlignment="1">
      <alignment/>
    </xf>
    <xf numFmtId="1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18" xfId="0" applyFont="1" applyBorder="1" applyAlignment="1">
      <alignment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" fontId="1" fillId="0" borderId="23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11" fontId="1" fillId="0" borderId="0" xfId="0" applyNumberFormat="1" applyFont="1" applyAlignment="1">
      <alignment/>
    </xf>
    <xf numFmtId="0" fontId="1" fillId="0" borderId="13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13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72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horizontal="center" wrapText="1"/>
    </xf>
    <xf numFmtId="39" fontId="5" fillId="0" borderId="13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39" fontId="5" fillId="0" borderId="17" xfId="0" applyNumberFormat="1" applyFont="1" applyBorder="1" applyAlignment="1">
      <alignment vertical="center"/>
    </xf>
    <xf numFmtId="173" fontId="5" fillId="0" borderId="17" xfId="0" applyNumberFormat="1" applyFont="1" applyBorder="1" applyAlignment="1">
      <alignment vertical="center"/>
    </xf>
    <xf numFmtId="172" fontId="5" fillId="0" borderId="27" xfId="0" applyNumberFormat="1" applyFont="1" applyBorder="1" applyAlignment="1">
      <alignment horizontal="center" vertical="center"/>
    </xf>
    <xf numFmtId="37" fontId="5" fillId="0" borderId="17" xfId="0" applyNumberFormat="1" applyFont="1" applyBorder="1" applyAlignment="1">
      <alignment vertic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5" xfId="0" applyFont="1" applyBorder="1" applyAlignment="1">
      <alignment vertical="top"/>
    </xf>
    <xf numFmtId="0" fontId="5" fillId="0" borderId="5" xfId="0" applyFont="1" applyBorder="1" applyAlignment="1">
      <alignment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11" fontId="1" fillId="0" borderId="11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11" fontId="1" fillId="0" borderId="1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11" fontId="1" fillId="0" borderId="2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11" fontId="1" fillId="0" borderId="13" xfId="0" applyNumberFormat="1" applyFont="1" applyBorder="1" applyAlignment="1">
      <alignment horizontal="center" vertical="center"/>
    </xf>
    <xf numFmtId="11" fontId="1" fillId="0" borderId="0" xfId="0" applyNumberFormat="1" applyFont="1" applyAlignment="1">
      <alignment horizontal="center"/>
    </xf>
    <xf numFmtId="0" fontId="5" fillId="0" borderId="3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39" fontId="5" fillId="0" borderId="19" xfId="0" applyNumberFormat="1" applyFont="1" applyBorder="1" applyAlignment="1">
      <alignment vertical="center"/>
    </xf>
    <xf numFmtId="173" fontId="5" fillId="0" borderId="19" xfId="0" applyNumberFormat="1" applyFont="1" applyBorder="1" applyAlignment="1">
      <alignment vertical="center"/>
    </xf>
    <xf numFmtId="175" fontId="5" fillId="0" borderId="19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5" fontId="5" fillId="0" borderId="13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3" fontId="5" fillId="0" borderId="21" xfId="0" applyNumberFormat="1" applyFont="1" applyBorder="1" applyAlignment="1">
      <alignment vertical="center"/>
    </xf>
    <xf numFmtId="175" fontId="5" fillId="0" borderId="2" xfId="0" applyNumberFormat="1" applyFont="1" applyBorder="1" applyAlignment="1">
      <alignment vertical="center"/>
    </xf>
    <xf numFmtId="171" fontId="1" fillId="0" borderId="19" xfId="0" applyNumberFormat="1" applyFont="1" applyBorder="1" applyAlignment="1">
      <alignment horizontal="center" vertical="center"/>
    </xf>
    <xf numFmtId="167" fontId="1" fillId="0" borderId="23" xfId="0" applyNumberFormat="1" applyFont="1" applyBorder="1" applyAlignment="1">
      <alignment horizontal="center" vertical="center"/>
    </xf>
    <xf numFmtId="171" fontId="1" fillId="0" borderId="2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71" fontId="1" fillId="0" borderId="1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1" borderId="37" xfId="0" applyFont="1" applyFill="1" applyBorder="1" applyAlignment="1">
      <alignment horizontal="center"/>
    </xf>
    <xf numFmtId="0" fontId="1" fillId="1" borderId="38" xfId="0" applyFont="1" applyFill="1" applyBorder="1" applyAlignment="1">
      <alignment/>
    </xf>
    <xf numFmtId="0" fontId="1" fillId="1" borderId="39" xfId="0" applyFont="1" applyFill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172" fontId="5" fillId="0" borderId="1" xfId="0" applyNumberFormat="1" applyFont="1" applyBorder="1" applyAlignment="1">
      <alignment horizontal="center" vertical="center"/>
    </xf>
    <xf numFmtId="172" fontId="5" fillId="0" borderId="48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40" xfId="0" applyFont="1" applyBorder="1" applyAlignment="1">
      <alignment/>
    </xf>
    <xf numFmtId="0" fontId="5" fillId="0" borderId="42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172" fontId="5" fillId="0" borderId="12" xfId="0" applyNumberFormat="1" applyFont="1" applyBorder="1" applyAlignment="1">
      <alignment horizontal="center" vertical="center"/>
    </xf>
    <xf numFmtId="172" fontId="5" fillId="0" borderId="51" xfId="0" applyNumberFormat="1" applyFont="1" applyBorder="1" applyAlignment="1">
      <alignment horizontal="center" vertical="center"/>
    </xf>
    <xf numFmtId="172" fontId="5" fillId="0" borderId="52" xfId="0" applyNumberFormat="1" applyFont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172" fontId="5" fillId="1" borderId="52" xfId="0" applyNumberFormat="1" applyFont="1" applyFill="1" applyBorder="1" applyAlignment="1">
      <alignment horizontal="center" vertical="center"/>
    </xf>
    <xf numFmtId="172" fontId="5" fillId="1" borderId="54" xfId="0" applyNumberFormat="1" applyFont="1" applyFill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horizontal="center" vertical="center" wrapText="1"/>
    </xf>
    <xf numFmtId="172" fontId="5" fillId="0" borderId="57" xfId="0" applyNumberFormat="1" applyFont="1" applyBorder="1" applyAlignment="1">
      <alignment horizontal="center" vertical="center"/>
    </xf>
    <xf numFmtId="172" fontId="5" fillId="1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17" fontId="5" fillId="0" borderId="13" xfId="0" applyNumberFormat="1" applyFont="1" applyBorder="1" applyAlignment="1" quotePrefix="1">
      <alignment horizontal="center" vertical="center"/>
    </xf>
    <xf numFmtId="16" fontId="5" fillId="0" borderId="17" xfId="0" applyNumberFormat="1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68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172" fontId="5" fillId="0" borderId="69" xfId="0" applyNumberFormat="1" applyFont="1" applyBorder="1" applyAlignment="1">
      <alignment horizontal="center" vertical="center"/>
    </xf>
    <xf numFmtId="172" fontId="5" fillId="0" borderId="7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C1">
      <selection activeCell="C12" sqref="C12"/>
    </sheetView>
  </sheetViews>
  <sheetFormatPr defaultColWidth="9.140625" defaultRowHeight="12.75"/>
  <cols>
    <col min="1" max="1" width="24.8515625" style="1" bestFit="1" customWidth="1"/>
    <col min="2" max="2" width="7.28125" style="51" bestFit="1" customWidth="1"/>
    <col min="3" max="3" width="16.421875" style="52" bestFit="1" customWidth="1"/>
    <col min="4" max="4" width="24.421875" style="1" bestFit="1" customWidth="1"/>
    <col min="5" max="5" width="25.57421875" style="1" bestFit="1" customWidth="1"/>
    <col min="6" max="6" width="5.7109375" style="2" bestFit="1" customWidth="1"/>
    <col min="7" max="7" width="6.28125" style="2" customWidth="1"/>
    <col min="8" max="8" width="10.57421875" style="1" bestFit="1" customWidth="1"/>
    <col min="9" max="16384" width="9.140625" style="1" customWidth="1"/>
  </cols>
  <sheetData>
    <row r="1" spans="1:8" ht="27" thickBot="1" thickTop="1">
      <c r="A1" s="23" t="s">
        <v>36</v>
      </c>
      <c r="B1" s="24" t="s">
        <v>37</v>
      </c>
      <c r="C1" s="25" t="s">
        <v>38</v>
      </c>
      <c r="D1" s="26" t="s">
        <v>39</v>
      </c>
      <c r="E1" s="26" t="s">
        <v>40</v>
      </c>
      <c r="F1" s="27" t="s">
        <v>41</v>
      </c>
      <c r="G1" s="28" t="s">
        <v>42</v>
      </c>
      <c r="H1" s="29" t="s">
        <v>43</v>
      </c>
    </row>
    <row r="2" spans="1:8" ht="18" customHeight="1" thickTop="1">
      <c r="A2" s="30" t="s">
        <v>54</v>
      </c>
      <c r="B2" s="31">
        <v>1987</v>
      </c>
      <c r="C2" s="32" t="s">
        <v>55</v>
      </c>
      <c r="D2" s="34" t="s">
        <v>56</v>
      </c>
      <c r="E2" s="33" t="s">
        <v>69</v>
      </c>
      <c r="F2" s="35">
        <v>2</v>
      </c>
      <c r="G2" s="36" t="s">
        <v>57</v>
      </c>
      <c r="H2" s="37" t="s">
        <v>58</v>
      </c>
    </row>
    <row r="3" spans="1:8" ht="25.5" customHeight="1">
      <c r="A3" s="38" t="s">
        <v>50</v>
      </c>
      <c r="B3" s="39">
        <v>1989</v>
      </c>
      <c r="C3" s="40" t="s">
        <v>45</v>
      </c>
      <c r="D3" s="41" t="s">
        <v>51</v>
      </c>
      <c r="E3" s="42" t="s">
        <v>52</v>
      </c>
      <c r="F3" s="43">
        <v>4</v>
      </c>
      <c r="G3" s="44" t="s">
        <v>48</v>
      </c>
      <c r="H3" s="45" t="s">
        <v>53</v>
      </c>
    </row>
    <row r="4" spans="1:8" ht="25.5" customHeight="1">
      <c r="A4" s="38" t="s">
        <v>59</v>
      </c>
      <c r="B4" s="39">
        <v>1989</v>
      </c>
      <c r="C4" s="40" t="s">
        <v>45</v>
      </c>
      <c r="D4" s="41" t="s">
        <v>56</v>
      </c>
      <c r="E4" s="42" t="s">
        <v>60</v>
      </c>
      <c r="F4" s="43">
        <v>2</v>
      </c>
      <c r="G4" s="44" t="s">
        <v>48</v>
      </c>
      <c r="H4" s="45" t="s">
        <v>61</v>
      </c>
    </row>
    <row r="5" spans="1:9" ht="38.25">
      <c r="A5" s="38" t="s">
        <v>44</v>
      </c>
      <c r="B5" s="39">
        <v>1990</v>
      </c>
      <c r="C5" s="40" t="s">
        <v>45</v>
      </c>
      <c r="D5" s="42" t="s">
        <v>46</v>
      </c>
      <c r="E5" s="41" t="s">
        <v>47</v>
      </c>
      <c r="F5" s="43">
        <v>1</v>
      </c>
      <c r="G5" s="44" t="s">
        <v>48</v>
      </c>
      <c r="H5" s="45" t="s">
        <v>49</v>
      </c>
      <c r="I5" s="46"/>
    </row>
    <row r="6" spans="1:8" ht="25.5" customHeight="1">
      <c r="A6" s="38" t="s">
        <v>66</v>
      </c>
      <c r="B6" s="54">
        <v>1990</v>
      </c>
      <c r="C6" s="40" t="s">
        <v>45</v>
      </c>
      <c r="D6" s="41" t="s">
        <v>51</v>
      </c>
      <c r="E6" s="42" t="s">
        <v>67</v>
      </c>
      <c r="F6" s="43">
        <v>6</v>
      </c>
      <c r="G6" s="44" t="s">
        <v>57</v>
      </c>
      <c r="H6" s="45" t="s">
        <v>68</v>
      </c>
    </row>
    <row r="7" spans="1:8" ht="18" customHeight="1" thickBot="1">
      <c r="A7" s="10" t="s">
        <v>62</v>
      </c>
      <c r="B7" s="53">
        <v>1991</v>
      </c>
      <c r="C7" s="47" t="s">
        <v>45</v>
      </c>
      <c r="D7" s="16" t="s">
        <v>63</v>
      </c>
      <c r="E7" s="18" t="s">
        <v>64</v>
      </c>
      <c r="F7" s="48">
        <v>3</v>
      </c>
      <c r="G7" s="49" t="s">
        <v>57</v>
      </c>
      <c r="H7" s="50" t="s">
        <v>65</v>
      </c>
    </row>
    <row r="8" ht="13.5" thickTop="1"/>
  </sheetData>
  <printOptions horizontalCentered="1"/>
  <pageMargins left="0.75" right="0.75" top="1.51" bottom="1" header="0.64" footer="0.5"/>
  <pageSetup horizontalDpi="300" verticalDpi="300" orientation="landscape" r:id="rId1"/>
  <headerFooter alignWithMargins="0">
    <oddHeader>&amp;C&amp;"Times New Roman,Bold"&amp;12Table 2-1
EMISSIONS TESTS USED FOR METAL SPRAYING EMISSION FACTOR DEVELOPMENT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6">
      <selection activeCell="A1" sqref="A1:F27"/>
    </sheetView>
  </sheetViews>
  <sheetFormatPr defaultColWidth="9.140625" defaultRowHeight="12.75"/>
  <cols>
    <col min="1" max="1" width="12.28125" style="2" customWidth="1"/>
    <col min="2" max="2" width="27.421875" style="1" customWidth="1"/>
    <col min="3" max="6" width="10.7109375" style="1" customWidth="1"/>
    <col min="7" max="16384" width="9.140625" style="1" customWidth="1"/>
  </cols>
  <sheetData>
    <row r="1" spans="1:6" ht="18.75" customHeight="1" thickTop="1">
      <c r="A1" s="202" t="s">
        <v>168</v>
      </c>
      <c r="B1" s="204" t="s">
        <v>71</v>
      </c>
      <c r="C1" s="199" t="s">
        <v>170</v>
      </c>
      <c r="D1" s="200"/>
      <c r="E1" s="200"/>
      <c r="F1" s="201"/>
    </row>
    <row r="2" spans="1:6" ht="16.5" customHeight="1" thickBot="1">
      <c r="A2" s="203"/>
      <c r="B2" s="205"/>
      <c r="C2" s="155" t="s">
        <v>106</v>
      </c>
      <c r="D2" s="155" t="s">
        <v>105</v>
      </c>
      <c r="E2" s="155" t="s">
        <v>107</v>
      </c>
      <c r="F2" s="145" t="s">
        <v>167</v>
      </c>
    </row>
    <row r="3" spans="1:6" ht="13.5" customHeight="1" thickTop="1">
      <c r="A3" s="149"/>
      <c r="B3" s="157" t="s">
        <v>72</v>
      </c>
      <c r="C3" s="158">
        <v>0.01</v>
      </c>
      <c r="D3" s="158">
        <v>0.01</v>
      </c>
      <c r="E3" s="158">
        <v>0.081</v>
      </c>
      <c r="F3" s="159" t="s">
        <v>172</v>
      </c>
    </row>
    <row r="4" spans="1:6" ht="13.5" customHeight="1">
      <c r="A4" s="150" t="s">
        <v>29</v>
      </c>
      <c r="B4" s="157" t="s">
        <v>73</v>
      </c>
      <c r="C4" s="158">
        <v>2.26</v>
      </c>
      <c r="D4" s="158">
        <v>5.28</v>
      </c>
      <c r="E4" s="158">
        <v>0.056</v>
      </c>
      <c r="F4" s="159" t="s">
        <v>172</v>
      </c>
    </row>
    <row r="5" spans="1:6" ht="13.5" customHeight="1">
      <c r="A5" s="149"/>
      <c r="B5" s="157" t="s">
        <v>74</v>
      </c>
      <c r="C5" s="158" t="s">
        <v>173</v>
      </c>
      <c r="D5" s="158">
        <v>0.1</v>
      </c>
      <c r="E5" s="158" t="s">
        <v>172</v>
      </c>
      <c r="F5" s="159" t="s">
        <v>172</v>
      </c>
    </row>
    <row r="6" spans="1:6" ht="13.5" customHeight="1" thickBot="1">
      <c r="A6" s="151"/>
      <c r="B6" s="153" t="s">
        <v>75</v>
      </c>
      <c r="C6" s="156">
        <v>12.5</v>
      </c>
      <c r="D6" s="156">
        <v>3.53</v>
      </c>
      <c r="E6" s="156" t="s">
        <v>172</v>
      </c>
      <c r="F6" s="4" t="s">
        <v>172</v>
      </c>
    </row>
    <row r="7" spans="1:6" ht="13.5" customHeight="1">
      <c r="A7" s="149"/>
      <c r="B7" s="157" t="s">
        <v>72</v>
      </c>
      <c r="C7" s="158">
        <v>0.51</v>
      </c>
      <c r="D7" s="158">
        <v>0.17</v>
      </c>
      <c r="E7" s="158">
        <v>16.3</v>
      </c>
      <c r="F7" s="159">
        <v>1.62</v>
      </c>
    </row>
    <row r="8" spans="1:6" ht="13.5" customHeight="1">
      <c r="A8" s="149"/>
      <c r="B8" s="157" t="s">
        <v>73</v>
      </c>
      <c r="C8" s="158">
        <v>0.55</v>
      </c>
      <c r="D8" s="158">
        <v>5.22</v>
      </c>
      <c r="E8" s="158">
        <v>0.056</v>
      </c>
      <c r="F8" s="159" t="s">
        <v>172</v>
      </c>
    </row>
    <row r="9" spans="1:6" ht="13.5" customHeight="1">
      <c r="A9" s="149" t="s">
        <v>34</v>
      </c>
      <c r="B9" s="157" t="s">
        <v>169</v>
      </c>
      <c r="C9" s="158">
        <v>1.96</v>
      </c>
      <c r="D9" s="158">
        <v>25.3</v>
      </c>
      <c r="E9" s="158" t="s">
        <v>172</v>
      </c>
      <c r="F9" s="159">
        <v>0.24</v>
      </c>
    </row>
    <row r="10" spans="1:6" ht="13.5" customHeight="1">
      <c r="A10" s="149"/>
      <c r="B10" s="157" t="s">
        <v>74</v>
      </c>
      <c r="C10" s="158">
        <v>0.14</v>
      </c>
      <c r="D10" s="158" t="s">
        <v>172</v>
      </c>
      <c r="E10" s="158" t="s">
        <v>172</v>
      </c>
      <c r="F10" s="159" t="s">
        <v>172</v>
      </c>
    </row>
    <row r="11" spans="1:6" ht="13.5" customHeight="1" thickBot="1">
      <c r="A11" s="151"/>
      <c r="B11" s="153" t="s">
        <v>75</v>
      </c>
      <c r="C11" s="156">
        <v>8.9</v>
      </c>
      <c r="D11" s="156">
        <v>4.2</v>
      </c>
      <c r="E11" s="156" t="s">
        <v>172</v>
      </c>
      <c r="F11" s="4" t="s">
        <v>172</v>
      </c>
    </row>
    <row r="12" spans="1:6" ht="13.5" customHeight="1">
      <c r="A12" s="149"/>
      <c r="B12" s="157" t="s">
        <v>72</v>
      </c>
      <c r="C12" s="158">
        <v>0.05</v>
      </c>
      <c r="D12" s="158">
        <v>0.04</v>
      </c>
      <c r="E12" s="158">
        <v>0.1</v>
      </c>
      <c r="F12" s="159" t="s">
        <v>172</v>
      </c>
    </row>
    <row r="13" spans="1:6" ht="13.5" customHeight="1">
      <c r="A13" s="149" t="s">
        <v>35</v>
      </c>
      <c r="B13" s="157" t="s">
        <v>73</v>
      </c>
      <c r="C13" s="158">
        <v>0.93</v>
      </c>
      <c r="D13" s="158">
        <v>9.7</v>
      </c>
      <c r="E13" s="158">
        <v>0.056</v>
      </c>
      <c r="F13" s="159" t="s">
        <v>172</v>
      </c>
    </row>
    <row r="14" spans="1:6" ht="13.5" customHeight="1">
      <c r="A14" s="149"/>
      <c r="B14" s="157" t="s">
        <v>74</v>
      </c>
      <c r="C14" s="158">
        <v>0.14</v>
      </c>
      <c r="D14" s="158" t="s">
        <v>172</v>
      </c>
      <c r="E14" s="158" t="s">
        <v>172</v>
      </c>
      <c r="F14" s="159" t="s">
        <v>172</v>
      </c>
    </row>
    <row r="15" spans="1:6" ht="13.5" customHeight="1" thickBot="1">
      <c r="A15" s="152"/>
      <c r="B15" s="154" t="s">
        <v>75</v>
      </c>
      <c r="C15" s="48">
        <v>1.12</v>
      </c>
      <c r="D15" s="48">
        <v>9.69</v>
      </c>
      <c r="E15" s="48" t="s">
        <v>172</v>
      </c>
      <c r="F15" s="5" t="s">
        <v>172</v>
      </c>
    </row>
    <row r="16" spans="1:6" ht="14.25" thickBot="1" thickTop="1">
      <c r="A16" s="146"/>
      <c r="B16" s="147"/>
      <c r="C16" s="147"/>
      <c r="D16" s="147"/>
      <c r="E16" s="147"/>
      <c r="F16" s="148"/>
    </row>
    <row r="17" spans="1:6" ht="18" customHeight="1" thickTop="1">
      <c r="A17" s="202" t="s">
        <v>168</v>
      </c>
      <c r="B17" s="206" t="s">
        <v>71</v>
      </c>
      <c r="C17" s="199" t="s">
        <v>174</v>
      </c>
      <c r="D17" s="200"/>
      <c r="E17" s="200"/>
      <c r="F17" s="201"/>
    </row>
    <row r="18" spans="1:6" ht="15.75" customHeight="1" thickBot="1">
      <c r="A18" s="203"/>
      <c r="B18" s="207"/>
      <c r="C18" s="155" t="s">
        <v>106</v>
      </c>
      <c r="D18" s="155" t="s">
        <v>105</v>
      </c>
      <c r="E18" s="155" t="s">
        <v>107</v>
      </c>
      <c r="F18" s="145" t="s">
        <v>167</v>
      </c>
    </row>
    <row r="19" spans="1:6" ht="13.5" customHeight="1" thickTop="1">
      <c r="A19" s="150"/>
      <c r="B19" s="157" t="s">
        <v>30</v>
      </c>
      <c r="C19" s="158">
        <v>0.00025</v>
      </c>
      <c r="D19" s="158">
        <v>0.0005</v>
      </c>
      <c r="E19" s="158" t="s">
        <v>172</v>
      </c>
      <c r="F19" s="159" t="s">
        <v>172</v>
      </c>
    </row>
    <row r="20" spans="1:6" ht="13.5" customHeight="1">
      <c r="A20" s="150" t="s">
        <v>16</v>
      </c>
      <c r="B20" s="157" t="s">
        <v>31</v>
      </c>
      <c r="C20" s="158">
        <v>0.00025</v>
      </c>
      <c r="D20" s="158">
        <v>0.0005</v>
      </c>
      <c r="E20" s="158" t="s">
        <v>172</v>
      </c>
      <c r="F20" s="159" t="s">
        <v>172</v>
      </c>
    </row>
    <row r="21" spans="1:6" ht="13.5" customHeight="1">
      <c r="A21" s="150" t="s">
        <v>175</v>
      </c>
      <c r="B21" s="157" t="s">
        <v>32</v>
      </c>
      <c r="C21" s="158" t="s">
        <v>172</v>
      </c>
      <c r="D21" s="158" t="s">
        <v>172</v>
      </c>
      <c r="E21" s="158">
        <v>6.5E-06</v>
      </c>
      <c r="F21" s="159" t="s">
        <v>172</v>
      </c>
    </row>
    <row r="22" spans="1:6" ht="13.5" customHeight="1" thickBot="1">
      <c r="A22" s="160"/>
      <c r="B22" s="162" t="s">
        <v>33</v>
      </c>
      <c r="C22" s="156">
        <v>0.003575</v>
      </c>
      <c r="D22" s="156">
        <v>0.001365</v>
      </c>
      <c r="E22" s="156">
        <v>0.00013</v>
      </c>
      <c r="F22" s="4" t="s">
        <v>172</v>
      </c>
    </row>
    <row r="23" spans="1:6" ht="13.5" customHeight="1">
      <c r="A23" s="150"/>
      <c r="B23" s="157" t="s">
        <v>30</v>
      </c>
      <c r="C23" s="158" t="s">
        <v>172</v>
      </c>
      <c r="D23" s="158" t="s">
        <v>172</v>
      </c>
      <c r="E23" s="158" t="s">
        <v>172</v>
      </c>
      <c r="F23" s="159" t="s">
        <v>172</v>
      </c>
    </row>
    <row r="24" spans="1:6" ht="13.5" customHeight="1">
      <c r="A24" s="150" t="s">
        <v>108</v>
      </c>
      <c r="B24" s="157" t="s">
        <v>31</v>
      </c>
      <c r="C24" s="158" t="s">
        <v>172</v>
      </c>
      <c r="D24" s="158">
        <v>0.00361</v>
      </c>
      <c r="E24" s="158" t="s">
        <v>172</v>
      </c>
      <c r="F24" s="159" t="s">
        <v>172</v>
      </c>
    </row>
    <row r="25" spans="1:6" ht="13.5" customHeight="1">
      <c r="A25" s="150"/>
      <c r="B25" s="157" t="s">
        <v>32</v>
      </c>
      <c r="C25" s="158" t="s">
        <v>172</v>
      </c>
      <c r="D25" s="158" t="s">
        <v>172</v>
      </c>
      <c r="E25" s="158" t="s">
        <v>172</v>
      </c>
      <c r="F25" s="159" t="s">
        <v>172</v>
      </c>
    </row>
    <row r="26" spans="1:6" ht="13.5" customHeight="1" thickBot="1">
      <c r="A26" s="161"/>
      <c r="B26" s="163" t="s">
        <v>33</v>
      </c>
      <c r="C26" s="48" t="s">
        <v>172</v>
      </c>
      <c r="D26" s="48" t="s">
        <v>172</v>
      </c>
      <c r="E26" s="48" t="s">
        <v>172</v>
      </c>
      <c r="F26" s="5" t="s">
        <v>172</v>
      </c>
    </row>
    <row r="27" ht="16.5" thickTop="1">
      <c r="A27" s="52" t="s">
        <v>171</v>
      </c>
    </row>
  </sheetData>
  <mergeCells count="6">
    <mergeCell ref="C1:F1"/>
    <mergeCell ref="C17:F17"/>
    <mergeCell ref="A1:A2"/>
    <mergeCell ref="B1:B2"/>
    <mergeCell ref="A17:A18"/>
    <mergeCell ref="B17:B18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15" sqref="E15"/>
    </sheetView>
  </sheetViews>
  <sheetFormatPr defaultColWidth="9.140625" defaultRowHeight="12.75"/>
  <cols>
    <col min="1" max="1" width="10.140625" style="55" customWidth="1"/>
    <col min="2" max="2" width="15.00390625" style="55" customWidth="1"/>
    <col min="3" max="5" width="11.28125" style="55" customWidth="1"/>
    <col min="6" max="16384" width="9.140625" style="55" customWidth="1"/>
  </cols>
  <sheetData>
    <row r="1" spans="1:5" ht="31.5" customHeight="1" thickTop="1">
      <c r="A1" s="209" t="s">
        <v>178</v>
      </c>
      <c r="B1" s="211" t="s">
        <v>185</v>
      </c>
      <c r="C1" s="208" t="s">
        <v>176</v>
      </c>
      <c r="D1" s="195"/>
      <c r="E1" s="196"/>
    </row>
    <row r="2" spans="1:5" ht="16.5" thickBot="1">
      <c r="A2" s="210"/>
      <c r="B2" s="212"/>
      <c r="C2" s="129" t="s">
        <v>106</v>
      </c>
      <c r="D2" s="129" t="s">
        <v>105</v>
      </c>
      <c r="E2" s="93" t="s">
        <v>107</v>
      </c>
    </row>
    <row r="3" spans="1:5" ht="18" customHeight="1" thickBot="1" thickTop="1">
      <c r="A3" s="166" t="s">
        <v>182</v>
      </c>
      <c r="B3" s="170" t="s">
        <v>186</v>
      </c>
      <c r="C3" s="173">
        <v>0.00019</v>
      </c>
      <c r="D3" s="173">
        <v>7.6E-05</v>
      </c>
      <c r="E3" s="164">
        <v>0.001368</v>
      </c>
    </row>
    <row r="4" spans="1:5" ht="18" customHeight="1" thickBot="1">
      <c r="A4" s="166" t="s">
        <v>179</v>
      </c>
      <c r="B4" s="170" t="s">
        <v>186</v>
      </c>
      <c r="C4" s="173">
        <v>0.00019</v>
      </c>
      <c r="D4" s="173">
        <v>0.00076</v>
      </c>
      <c r="E4" s="164">
        <v>0.00095</v>
      </c>
    </row>
    <row r="5" spans="1:5" ht="18" customHeight="1" thickBot="1">
      <c r="A5" s="167" t="s">
        <v>180</v>
      </c>
      <c r="B5" s="171" t="s">
        <v>186</v>
      </c>
      <c r="C5" s="174">
        <v>0.00019</v>
      </c>
      <c r="D5" s="174">
        <v>7.6E-05</v>
      </c>
      <c r="E5" s="165">
        <v>0.001368</v>
      </c>
    </row>
    <row r="6" spans="1:5" ht="18" customHeight="1" thickBot="1">
      <c r="A6" s="166" t="s">
        <v>183</v>
      </c>
      <c r="B6" s="170" t="s">
        <v>186</v>
      </c>
      <c r="C6" s="173">
        <v>0.00019</v>
      </c>
      <c r="D6" s="173">
        <v>7.6E-05</v>
      </c>
      <c r="E6" s="164">
        <v>0.001368</v>
      </c>
    </row>
    <row r="7" spans="1:5" ht="18" customHeight="1" thickBot="1">
      <c r="A7" s="166" t="s">
        <v>181</v>
      </c>
      <c r="B7" s="170" t="s">
        <v>186</v>
      </c>
      <c r="C7" s="173">
        <v>0.00019</v>
      </c>
      <c r="D7" s="173">
        <v>7.6E-05</v>
      </c>
      <c r="E7" s="164">
        <v>0.001368</v>
      </c>
    </row>
    <row r="8" spans="1:5" ht="18" customHeight="1" thickBot="1">
      <c r="A8" s="166" t="s">
        <v>20</v>
      </c>
      <c r="B8" s="170" t="s">
        <v>186</v>
      </c>
      <c r="C8" s="173">
        <v>0.00019</v>
      </c>
      <c r="D8" s="173">
        <v>7.6E-05</v>
      </c>
      <c r="E8" s="164">
        <v>0.001368</v>
      </c>
    </row>
    <row r="9" spans="1:5" ht="18" customHeight="1">
      <c r="A9" s="168" t="s">
        <v>184</v>
      </c>
      <c r="B9" s="177" t="s">
        <v>73</v>
      </c>
      <c r="C9" s="178"/>
      <c r="D9" s="175">
        <v>0.31</v>
      </c>
      <c r="E9" s="179"/>
    </row>
    <row r="10" spans="1:5" ht="18" customHeight="1" thickBot="1">
      <c r="A10" s="169"/>
      <c r="B10" s="172" t="s">
        <v>187</v>
      </c>
      <c r="C10" s="176">
        <v>0.00019</v>
      </c>
      <c r="D10" s="176">
        <v>7.6E-05</v>
      </c>
      <c r="E10" s="73">
        <v>0.001368</v>
      </c>
    </row>
    <row r="11" ht="16.5" thickTop="1"/>
  </sheetData>
  <mergeCells count="3">
    <mergeCell ref="C1:E1"/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A1" sqref="A1:C7"/>
    </sheetView>
  </sheetViews>
  <sheetFormatPr defaultColWidth="9.140625" defaultRowHeight="12.75"/>
  <cols>
    <col min="1" max="1" width="18.28125" style="55" customWidth="1"/>
    <col min="2" max="3" width="15.7109375" style="55" customWidth="1"/>
    <col min="4" max="16384" width="9.140625" style="55" customWidth="1"/>
  </cols>
  <sheetData>
    <row r="1" spans="1:3" ht="16.5" thickTop="1">
      <c r="A1" s="213" t="s">
        <v>128</v>
      </c>
      <c r="B1" s="208" t="s">
        <v>188</v>
      </c>
      <c r="C1" s="196"/>
    </row>
    <row r="2" spans="1:3" ht="35.25" thickBot="1">
      <c r="A2" s="214"/>
      <c r="B2" s="181" t="s">
        <v>222</v>
      </c>
      <c r="C2" s="93" t="s">
        <v>106</v>
      </c>
    </row>
    <row r="3" spans="1:3" ht="18" customHeight="1" thickTop="1">
      <c r="A3" s="180" t="s">
        <v>142</v>
      </c>
      <c r="B3" s="215">
        <v>0.051</v>
      </c>
      <c r="C3" s="83">
        <v>0.15</v>
      </c>
    </row>
    <row r="4" spans="1:3" ht="18" customHeight="1">
      <c r="A4" s="180" t="s">
        <v>56</v>
      </c>
      <c r="B4" s="216"/>
      <c r="C4" s="83">
        <v>0.055</v>
      </c>
    </row>
    <row r="5" spans="1:3" ht="18" customHeight="1" thickBot="1">
      <c r="A5" s="169" t="s">
        <v>189</v>
      </c>
      <c r="B5" s="182">
        <v>1.01E-05</v>
      </c>
      <c r="C5" s="183"/>
    </row>
    <row r="6" s="1" customFormat="1" ht="16.5" thickTop="1">
      <c r="A6" s="1" t="s">
        <v>223</v>
      </c>
    </row>
    <row r="7" s="1" customFormat="1" ht="12.75">
      <c r="A7" s="1" t="s">
        <v>224</v>
      </c>
    </row>
  </sheetData>
  <mergeCells count="3">
    <mergeCell ref="A1:A2"/>
    <mergeCell ref="B1:C1"/>
    <mergeCell ref="B3:B4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1">
      <selection activeCell="A1" sqref="A1:F23"/>
    </sheetView>
  </sheetViews>
  <sheetFormatPr defaultColWidth="9.140625" defaultRowHeight="12.75"/>
  <cols>
    <col min="1" max="6" width="10.7109375" style="55" customWidth="1"/>
    <col min="7" max="16384" width="9.140625" style="55" customWidth="1"/>
  </cols>
  <sheetData>
    <row r="1" spans="1:6" ht="16.5" thickTop="1">
      <c r="A1" s="185"/>
      <c r="B1" s="208" t="s">
        <v>209</v>
      </c>
      <c r="C1" s="195"/>
      <c r="D1" s="195"/>
      <c r="E1" s="195"/>
      <c r="F1" s="196"/>
    </row>
    <row r="2" spans="1:6" ht="18" customHeight="1" thickBot="1">
      <c r="A2" s="186" t="s">
        <v>195</v>
      </c>
      <c r="B2" s="129" t="s">
        <v>105</v>
      </c>
      <c r="C2" s="129" t="s">
        <v>106</v>
      </c>
      <c r="D2" s="129" t="s">
        <v>107</v>
      </c>
      <c r="E2" s="129" t="s">
        <v>177</v>
      </c>
      <c r="F2" s="93" t="s">
        <v>167</v>
      </c>
    </row>
    <row r="3" spans="1:6" ht="18" customHeight="1" thickTop="1">
      <c r="A3" s="180" t="s">
        <v>206</v>
      </c>
      <c r="B3" s="102" t="s">
        <v>193</v>
      </c>
      <c r="C3" s="102" t="s">
        <v>194</v>
      </c>
      <c r="D3" s="102" t="s">
        <v>191</v>
      </c>
      <c r="E3" s="102" t="s">
        <v>191</v>
      </c>
      <c r="F3" s="103" t="s">
        <v>191</v>
      </c>
    </row>
    <row r="4" spans="1:6" ht="18" customHeight="1">
      <c r="A4" s="180" t="s">
        <v>196</v>
      </c>
      <c r="B4" s="102" t="s">
        <v>190</v>
      </c>
      <c r="C4" s="102" t="s">
        <v>190</v>
      </c>
      <c r="D4" s="102" t="s">
        <v>191</v>
      </c>
      <c r="E4" s="102" t="s">
        <v>191</v>
      </c>
      <c r="F4" s="103" t="s">
        <v>191</v>
      </c>
    </row>
    <row r="5" spans="1:6" ht="18" customHeight="1">
      <c r="A5" s="180" t="s">
        <v>197</v>
      </c>
      <c r="B5" s="102" t="s">
        <v>210</v>
      </c>
      <c r="C5" s="188" t="s">
        <v>215</v>
      </c>
      <c r="D5" s="102" t="s">
        <v>191</v>
      </c>
      <c r="E5" s="102" t="s">
        <v>191</v>
      </c>
      <c r="F5" s="103" t="s">
        <v>191</v>
      </c>
    </row>
    <row r="6" spans="1:6" ht="18" customHeight="1">
      <c r="A6" s="180" t="s">
        <v>81</v>
      </c>
      <c r="B6" s="102" t="s">
        <v>211</v>
      </c>
      <c r="C6" s="102" t="s">
        <v>216</v>
      </c>
      <c r="D6" s="102" t="s">
        <v>191</v>
      </c>
      <c r="E6" s="102" t="s">
        <v>191</v>
      </c>
      <c r="F6" s="103" t="s">
        <v>191</v>
      </c>
    </row>
    <row r="7" spans="1:6" ht="18" customHeight="1">
      <c r="A7" s="180" t="s">
        <v>198</v>
      </c>
      <c r="B7" s="102" t="s">
        <v>212</v>
      </c>
      <c r="C7" s="188" t="s">
        <v>217</v>
      </c>
      <c r="D7" s="102" t="s">
        <v>191</v>
      </c>
      <c r="E7" s="102" t="s">
        <v>191</v>
      </c>
      <c r="F7" s="103" t="s">
        <v>191</v>
      </c>
    </row>
    <row r="8" spans="1:6" ht="18" customHeight="1">
      <c r="A8" s="180" t="s">
        <v>82</v>
      </c>
      <c r="B8" s="188" t="s">
        <v>213</v>
      </c>
      <c r="C8" s="102" t="s">
        <v>218</v>
      </c>
      <c r="D8" s="102" t="s">
        <v>191</v>
      </c>
      <c r="E8" s="102" t="s">
        <v>191</v>
      </c>
      <c r="F8" s="103" t="s">
        <v>191</v>
      </c>
    </row>
    <row r="9" spans="1:6" ht="18" customHeight="1">
      <c r="A9" s="180" t="s">
        <v>199</v>
      </c>
      <c r="B9" s="102" t="s">
        <v>220</v>
      </c>
      <c r="C9" s="102" t="s">
        <v>191</v>
      </c>
      <c r="D9" s="102" t="s">
        <v>191</v>
      </c>
      <c r="E9" s="102" t="s">
        <v>191</v>
      </c>
      <c r="F9" s="103" t="s">
        <v>191</v>
      </c>
    </row>
    <row r="10" spans="1:6" ht="18" customHeight="1">
      <c r="A10" s="180" t="s">
        <v>96</v>
      </c>
      <c r="B10" s="102" t="s">
        <v>191</v>
      </c>
      <c r="C10" s="102" t="s">
        <v>191</v>
      </c>
      <c r="D10" s="102" t="s">
        <v>191</v>
      </c>
      <c r="E10" s="102" t="s">
        <v>191</v>
      </c>
      <c r="F10" s="103" t="s">
        <v>191</v>
      </c>
    </row>
    <row r="11" spans="1:6" ht="18" customHeight="1">
      <c r="A11" s="180" t="s">
        <v>200</v>
      </c>
      <c r="B11" s="102" t="s">
        <v>191</v>
      </c>
      <c r="C11" s="102" t="s">
        <v>191</v>
      </c>
      <c r="D11" s="102" t="s">
        <v>191</v>
      </c>
      <c r="E11" s="102" t="s">
        <v>191</v>
      </c>
      <c r="F11" s="103" t="s">
        <v>191</v>
      </c>
    </row>
    <row r="12" spans="1:6" ht="18" customHeight="1">
      <c r="A12" s="180" t="s">
        <v>97</v>
      </c>
      <c r="B12" s="102" t="s">
        <v>191</v>
      </c>
      <c r="C12" s="102" t="s">
        <v>191</v>
      </c>
      <c r="D12" s="102" t="s">
        <v>191</v>
      </c>
      <c r="E12" s="102" t="s">
        <v>191</v>
      </c>
      <c r="F12" s="103" t="s">
        <v>191</v>
      </c>
    </row>
    <row r="13" spans="1:6" ht="18" customHeight="1">
      <c r="A13" s="180" t="s">
        <v>99</v>
      </c>
      <c r="B13" s="102" t="s">
        <v>192</v>
      </c>
      <c r="C13" s="102" t="s">
        <v>190</v>
      </c>
      <c r="D13" s="102" t="s">
        <v>191</v>
      </c>
      <c r="E13" s="102" t="s">
        <v>191</v>
      </c>
      <c r="F13" s="103" t="s">
        <v>191</v>
      </c>
    </row>
    <row r="14" spans="1:6" ht="18" customHeight="1">
      <c r="A14" s="180" t="s">
        <v>201</v>
      </c>
      <c r="B14" s="102" t="s">
        <v>191</v>
      </c>
      <c r="C14" s="102" t="s">
        <v>191</v>
      </c>
      <c r="D14" s="102" t="s">
        <v>191</v>
      </c>
      <c r="E14" s="102" t="s">
        <v>191</v>
      </c>
      <c r="F14" s="103" t="s">
        <v>191</v>
      </c>
    </row>
    <row r="15" spans="1:6" ht="18" customHeight="1">
      <c r="A15" s="180" t="s">
        <v>202</v>
      </c>
      <c r="B15" s="102" t="s">
        <v>191</v>
      </c>
      <c r="C15" s="102" t="s">
        <v>191</v>
      </c>
      <c r="D15" s="102" t="s">
        <v>191</v>
      </c>
      <c r="E15" s="102" t="s">
        <v>191</v>
      </c>
      <c r="F15" s="103" t="s">
        <v>191</v>
      </c>
    </row>
    <row r="16" spans="1:6" ht="18" customHeight="1">
      <c r="A16" s="180" t="s">
        <v>77</v>
      </c>
      <c r="B16" s="102" t="s">
        <v>191</v>
      </c>
      <c r="C16" s="102" t="s">
        <v>191</v>
      </c>
      <c r="D16" s="102" t="s">
        <v>191</v>
      </c>
      <c r="E16" s="102" t="s">
        <v>191</v>
      </c>
      <c r="F16" s="103" t="s">
        <v>191</v>
      </c>
    </row>
    <row r="17" spans="1:6" ht="18" customHeight="1">
      <c r="A17" s="180" t="s">
        <v>207</v>
      </c>
      <c r="B17" s="102" t="s">
        <v>191</v>
      </c>
      <c r="C17" s="102" t="s">
        <v>191</v>
      </c>
      <c r="D17" s="102" t="s">
        <v>191</v>
      </c>
      <c r="E17" s="102" t="s">
        <v>191</v>
      </c>
      <c r="F17" s="103" t="s">
        <v>191</v>
      </c>
    </row>
    <row r="18" spans="1:6" ht="18" customHeight="1">
      <c r="A18" s="180" t="s">
        <v>208</v>
      </c>
      <c r="B18" s="102" t="s">
        <v>191</v>
      </c>
      <c r="C18" s="102" t="s">
        <v>191</v>
      </c>
      <c r="D18" s="102" t="s">
        <v>191</v>
      </c>
      <c r="E18" s="102" t="s">
        <v>191</v>
      </c>
      <c r="F18" s="103" t="s">
        <v>191</v>
      </c>
    </row>
    <row r="19" spans="1:6" ht="18" customHeight="1">
      <c r="A19" s="180" t="s">
        <v>203</v>
      </c>
      <c r="B19" s="102" t="s">
        <v>190</v>
      </c>
      <c r="C19" s="102" t="s">
        <v>190</v>
      </c>
      <c r="D19" s="102" t="s">
        <v>191</v>
      </c>
      <c r="E19" s="102" t="s">
        <v>191</v>
      </c>
      <c r="F19" s="103" t="s">
        <v>191</v>
      </c>
    </row>
    <row r="20" spans="1:6" ht="18" customHeight="1">
      <c r="A20" s="180" t="s">
        <v>204</v>
      </c>
      <c r="B20" s="102" t="s">
        <v>190</v>
      </c>
      <c r="C20" s="102" t="s">
        <v>190</v>
      </c>
      <c r="D20" s="102" t="s">
        <v>191</v>
      </c>
      <c r="E20" s="102" t="s">
        <v>191</v>
      </c>
      <c r="F20" s="103" t="s">
        <v>191</v>
      </c>
    </row>
    <row r="21" spans="1:6" ht="18" customHeight="1">
      <c r="A21" s="180" t="s">
        <v>204</v>
      </c>
      <c r="B21" s="102" t="s">
        <v>192</v>
      </c>
      <c r="C21" s="102" t="s">
        <v>190</v>
      </c>
      <c r="D21" s="102" t="s">
        <v>191</v>
      </c>
      <c r="E21" s="102" t="s">
        <v>191</v>
      </c>
      <c r="F21" s="103" t="s">
        <v>191</v>
      </c>
    </row>
    <row r="22" spans="1:6" ht="18" customHeight="1" thickBot="1">
      <c r="A22" s="169" t="s">
        <v>205</v>
      </c>
      <c r="B22" s="187" t="s">
        <v>214</v>
      </c>
      <c r="C22" s="95" t="s">
        <v>219</v>
      </c>
      <c r="D22" s="95" t="s">
        <v>191</v>
      </c>
      <c r="E22" s="95" t="s">
        <v>191</v>
      </c>
      <c r="F22" s="184" t="s">
        <v>191</v>
      </c>
    </row>
    <row r="23" ht="17.25" thickTop="1">
      <c r="A23" s="1" t="s">
        <v>221</v>
      </c>
    </row>
  </sheetData>
  <mergeCells count="1">
    <mergeCell ref="B1:F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4">
      <selection activeCell="A1" sqref="A1:F10"/>
    </sheetView>
  </sheetViews>
  <sheetFormatPr defaultColWidth="9.140625" defaultRowHeight="12.75"/>
  <cols>
    <col min="1" max="2" width="9.140625" style="1" customWidth="1"/>
    <col min="3" max="3" width="15.7109375" style="1" bestFit="1" customWidth="1"/>
    <col min="4" max="4" width="21.00390625" style="1" customWidth="1"/>
    <col min="5" max="5" width="15.57421875" style="1" customWidth="1"/>
    <col min="6" max="6" width="12.57421875" style="2" customWidth="1"/>
    <col min="7" max="16384" width="9.140625" style="1" customWidth="1"/>
  </cols>
  <sheetData>
    <row r="1" spans="1:6" ht="21.75" customHeight="1" thickBot="1" thickTop="1">
      <c r="A1" s="7" t="s">
        <v>0</v>
      </c>
      <c r="B1" s="11" t="s">
        <v>1</v>
      </c>
      <c r="C1" s="14" t="s">
        <v>2</v>
      </c>
      <c r="D1" s="14" t="s">
        <v>28</v>
      </c>
      <c r="E1" s="14" t="s">
        <v>3</v>
      </c>
      <c r="F1" s="6" t="s">
        <v>4</v>
      </c>
    </row>
    <row r="2" spans="1:6" ht="27.75" customHeight="1" thickTop="1">
      <c r="A2" s="8" t="s">
        <v>5</v>
      </c>
      <c r="B2" s="21" t="s">
        <v>6</v>
      </c>
      <c r="C2" s="22" t="s">
        <v>12</v>
      </c>
      <c r="D2" s="22" t="s">
        <v>7</v>
      </c>
      <c r="E2" s="19" t="s">
        <v>8</v>
      </c>
      <c r="F2" s="20" t="s">
        <v>9</v>
      </c>
    </row>
    <row r="3" spans="1:6" ht="27.75" customHeight="1" thickBot="1">
      <c r="A3" s="9"/>
      <c r="B3" s="12" t="s">
        <v>13</v>
      </c>
      <c r="C3" s="15" t="s">
        <v>14</v>
      </c>
      <c r="D3" s="17" t="s">
        <v>15</v>
      </c>
      <c r="E3" s="17"/>
      <c r="F3" s="3"/>
    </row>
    <row r="4" spans="1:6" ht="28.5">
      <c r="A4" s="8" t="s">
        <v>10</v>
      </c>
      <c r="B4" s="21" t="s">
        <v>6</v>
      </c>
      <c r="C4" s="22" t="s">
        <v>12</v>
      </c>
      <c r="D4" s="22" t="s">
        <v>7</v>
      </c>
      <c r="E4" s="19" t="s">
        <v>8</v>
      </c>
      <c r="F4" s="20" t="s">
        <v>9</v>
      </c>
    </row>
    <row r="5" spans="1:6" ht="26.25" thickBot="1">
      <c r="A5" s="9"/>
      <c r="B5" s="12" t="s">
        <v>13</v>
      </c>
      <c r="C5" s="15" t="s">
        <v>14</v>
      </c>
      <c r="D5" s="17" t="s">
        <v>15</v>
      </c>
      <c r="E5" s="17"/>
      <c r="F5" s="3"/>
    </row>
    <row r="6" spans="1:6" ht="28.5">
      <c r="A6" s="8" t="s">
        <v>11</v>
      </c>
      <c r="B6" s="21" t="s">
        <v>6</v>
      </c>
      <c r="C6" s="22" t="s">
        <v>12</v>
      </c>
      <c r="D6" s="22" t="s">
        <v>7</v>
      </c>
      <c r="E6" s="19" t="s">
        <v>8</v>
      </c>
      <c r="F6" s="20" t="s">
        <v>9</v>
      </c>
    </row>
    <row r="7" spans="1:6" ht="26.25" thickBot="1">
      <c r="A7" s="9"/>
      <c r="B7" s="12" t="s">
        <v>13</v>
      </c>
      <c r="C7" s="15" t="s">
        <v>14</v>
      </c>
      <c r="D7" s="17" t="s">
        <v>15</v>
      </c>
      <c r="E7" s="15"/>
      <c r="F7" s="4"/>
    </row>
    <row r="8" spans="1:6" ht="39" thickBot="1">
      <c r="A8" s="9" t="s">
        <v>18</v>
      </c>
      <c r="B8" s="12" t="s">
        <v>21</v>
      </c>
      <c r="C8" s="15" t="s">
        <v>22</v>
      </c>
      <c r="D8" s="17" t="s">
        <v>23</v>
      </c>
      <c r="E8" s="17" t="s">
        <v>27</v>
      </c>
      <c r="F8" s="4" t="s">
        <v>26</v>
      </c>
    </row>
    <row r="9" spans="1:6" ht="39" thickBot="1">
      <c r="A9" s="9" t="s">
        <v>19</v>
      </c>
      <c r="B9" s="12" t="s">
        <v>21</v>
      </c>
      <c r="C9" s="15" t="s">
        <v>22</v>
      </c>
      <c r="D9" s="15" t="s">
        <v>24</v>
      </c>
      <c r="E9" s="17" t="s">
        <v>27</v>
      </c>
      <c r="F9" s="4" t="s">
        <v>26</v>
      </c>
    </row>
    <row r="10" spans="1:6" ht="39" thickBot="1">
      <c r="A10" s="10" t="s">
        <v>20</v>
      </c>
      <c r="B10" s="13" t="s">
        <v>21</v>
      </c>
      <c r="C10" s="16" t="s">
        <v>22</v>
      </c>
      <c r="D10" s="18" t="s">
        <v>23</v>
      </c>
      <c r="E10" s="18" t="s">
        <v>25</v>
      </c>
      <c r="F10" s="5" t="s">
        <v>26</v>
      </c>
    </row>
    <row r="11" ht="13.5" thickTop="1"/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:C14"/>
    </sheetView>
  </sheetViews>
  <sheetFormatPr defaultColWidth="9.140625" defaultRowHeight="12.75"/>
  <cols>
    <col min="1" max="1" width="13.8515625" style="56" customWidth="1"/>
    <col min="2" max="2" width="21.421875" style="55" customWidth="1"/>
    <col min="3" max="3" width="36.8515625" style="55" customWidth="1"/>
    <col min="4" max="16384" width="9.140625" style="55" customWidth="1"/>
  </cols>
  <sheetData>
    <row r="1" spans="1:3" ht="33" thickBot="1" thickTop="1">
      <c r="A1" s="63" t="s">
        <v>70</v>
      </c>
      <c r="B1" s="68" t="s">
        <v>71</v>
      </c>
      <c r="C1" s="59" t="s">
        <v>76</v>
      </c>
    </row>
    <row r="2" spans="1:3" ht="16.5" thickTop="1">
      <c r="A2" s="64"/>
      <c r="B2" s="69" t="s">
        <v>72</v>
      </c>
      <c r="C2" s="61" t="s">
        <v>77</v>
      </c>
    </row>
    <row r="3" spans="1:3" ht="15.75">
      <c r="A3" s="64" t="s">
        <v>29</v>
      </c>
      <c r="B3" s="70" t="s">
        <v>73</v>
      </c>
      <c r="C3" s="57" t="s">
        <v>78</v>
      </c>
    </row>
    <row r="4" spans="1:3" ht="15.75">
      <c r="A4" s="64"/>
      <c r="B4" s="69" t="s">
        <v>74</v>
      </c>
      <c r="C4" s="61" t="s">
        <v>79</v>
      </c>
    </row>
    <row r="5" spans="1:3" ht="16.5" thickBot="1">
      <c r="A5" s="65"/>
      <c r="B5" s="71" t="s">
        <v>75</v>
      </c>
      <c r="C5" s="60" t="s">
        <v>80</v>
      </c>
    </row>
    <row r="6" spans="1:3" ht="33" customHeight="1">
      <c r="A6" s="64"/>
      <c r="B6" s="69" t="s">
        <v>72</v>
      </c>
      <c r="C6" s="61" t="s">
        <v>86</v>
      </c>
    </row>
    <row r="7" spans="1:3" ht="15.75">
      <c r="A7" s="64"/>
      <c r="B7" s="69" t="s">
        <v>73</v>
      </c>
      <c r="C7" s="61" t="s">
        <v>78</v>
      </c>
    </row>
    <row r="8" spans="1:3" ht="31.5">
      <c r="A8" s="66" t="s">
        <v>34</v>
      </c>
      <c r="B8" s="69" t="s">
        <v>87</v>
      </c>
      <c r="C8" s="61" t="s">
        <v>81</v>
      </c>
    </row>
    <row r="9" spans="1:3" ht="15.75">
      <c r="A9" s="64"/>
      <c r="B9" s="69" t="s">
        <v>74</v>
      </c>
      <c r="C9" s="61" t="s">
        <v>82</v>
      </c>
    </row>
    <row r="10" spans="1:3" ht="16.5" thickBot="1">
      <c r="A10" s="65"/>
      <c r="B10" s="71" t="s">
        <v>75</v>
      </c>
      <c r="C10" s="60" t="s">
        <v>83</v>
      </c>
    </row>
    <row r="11" spans="1:3" ht="15.75">
      <c r="A11" s="64"/>
      <c r="B11" s="69" t="s">
        <v>72</v>
      </c>
      <c r="C11" s="61" t="s">
        <v>84</v>
      </c>
    </row>
    <row r="12" spans="1:3" ht="15.75">
      <c r="A12" s="64" t="s">
        <v>35</v>
      </c>
      <c r="B12" s="69" t="s">
        <v>73</v>
      </c>
      <c r="C12" s="61" t="s">
        <v>78</v>
      </c>
    </row>
    <row r="13" spans="1:3" ht="15.75">
      <c r="A13" s="64"/>
      <c r="B13" s="69" t="s">
        <v>74</v>
      </c>
      <c r="C13" s="61" t="s">
        <v>82</v>
      </c>
    </row>
    <row r="14" spans="1:3" ht="16.5" thickBot="1">
      <c r="A14" s="67"/>
      <c r="B14" s="72" t="s">
        <v>75</v>
      </c>
      <c r="C14" s="58" t="s">
        <v>85</v>
      </c>
    </row>
    <row r="15" ht="16.5" thickTop="1"/>
    <row r="16" ht="15.75">
      <c r="D16" s="62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:D14"/>
    </sheetView>
  </sheetViews>
  <sheetFormatPr defaultColWidth="9.140625" defaultRowHeight="12.75"/>
  <cols>
    <col min="1" max="1" width="11.57421875" style="55" customWidth="1"/>
    <col min="2" max="2" width="11.421875" style="55" customWidth="1"/>
    <col min="3" max="3" width="12.140625" style="55" customWidth="1"/>
    <col min="4" max="4" width="20.8515625" style="55" customWidth="1"/>
    <col min="5" max="16384" width="9.140625" style="55" customWidth="1"/>
  </cols>
  <sheetData>
    <row r="1" spans="1:4" ht="73.5" customHeight="1" thickBot="1" thickTop="1">
      <c r="A1" s="75" t="s">
        <v>88</v>
      </c>
      <c r="B1" s="78" t="s">
        <v>100</v>
      </c>
      <c r="C1" s="78" t="s">
        <v>101</v>
      </c>
      <c r="D1" s="74" t="s">
        <v>102</v>
      </c>
    </row>
    <row r="2" spans="1:4" ht="16.5" thickTop="1">
      <c r="A2" s="80" t="s">
        <v>89</v>
      </c>
      <c r="B2" s="81">
        <v>0.86</v>
      </c>
      <c r="C2" s="82">
        <v>0.094</v>
      </c>
      <c r="D2" s="83">
        <v>0.08084</v>
      </c>
    </row>
    <row r="3" spans="1:4" ht="15.75">
      <c r="A3" s="80" t="s">
        <v>90</v>
      </c>
      <c r="B3" s="81">
        <v>0.79</v>
      </c>
      <c r="C3" s="82">
        <v>0.078</v>
      </c>
      <c r="D3" s="83">
        <v>0.06162</v>
      </c>
    </row>
    <row r="4" spans="1:4" ht="15.75">
      <c r="A4" s="80" t="s">
        <v>91</v>
      </c>
      <c r="B4" s="81">
        <v>0.54</v>
      </c>
      <c r="C4" s="82">
        <v>0.042</v>
      </c>
      <c r="D4" s="83">
        <v>0.02268</v>
      </c>
    </row>
    <row r="5" spans="1:4" ht="15.75">
      <c r="A5" s="80" t="s">
        <v>92</v>
      </c>
      <c r="B5" s="81">
        <v>0.87</v>
      </c>
      <c r="C5" s="82">
        <v>0.065</v>
      </c>
      <c r="D5" s="83">
        <v>0.05655</v>
      </c>
    </row>
    <row r="6" spans="1:4" ht="15.75">
      <c r="A6" s="80" t="s">
        <v>93</v>
      </c>
      <c r="B6" s="81">
        <v>1.2</v>
      </c>
      <c r="C6" s="82">
        <v>0.086</v>
      </c>
      <c r="D6" s="83">
        <v>0.1032</v>
      </c>
    </row>
    <row r="7" spans="1:4" ht="15.75">
      <c r="A7" s="80" t="s">
        <v>94</v>
      </c>
      <c r="B7" s="81">
        <v>2.27</v>
      </c>
      <c r="C7" s="82">
        <v>0.022</v>
      </c>
      <c r="D7" s="83">
        <v>0.04994</v>
      </c>
    </row>
    <row r="8" spans="1:4" ht="15.75">
      <c r="A8" s="80" t="s">
        <v>95</v>
      </c>
      <c r="B8" s="81">
        <v>2.05</v>
      </c>
      <c r="C8" s="82">
        <v>0.036</v>
      </c>
      <c r="D8" s="83">
        <v>0.0738</v>
      </c>
    </row>
    <row r="9" spans="1:4" ht="15.75">
      <c r="A9" s="80" t="s">
        <v>96</v>
      </c>
      <c r="B9" s="81">
        <v>3.84</v>
      </c>
      <c r="C9" s="82">
        <v>0.016</v>
      </c>
      <c r="D9" s="83">
        <v>0.06144</v>
      </c>
    </row>
    <row r="10" spans="1:4" ht="15.75">
      <c r="A10" s="80" t="s">
        <v>97</v>
      </c>
      <c r="B10" s="81">
        <v>1.36</v>
      </c>
      <c r="C10" s="84">
        <v>12</v>
      </c>
      <c r="D10" s="83">
        <v>16.32</v>
      </c>
    </row>
    <row r="11" spans="1:4" ht="15.75">
      <c r="A11" s="80" t="s">
        <v>98</v>
      </c>
      <c r="B11" s="81">
        <v>0.64</v>
      </c>
      <c r="C11" s="82">
        <v>0.087</v>
      </c>
      <c r="D11" s="83">
        <v>0.05568</v>
      </c>
    </row>
    <row r="12" spans="1:4" ht="16.5" thickBot="1">
      <c r="A12" s="77" t="s">
        <v>99</v>
      </c>
      <c r="B12" s="79">
        <v>1.57</v>
      </c>
      <c r="C12" s="79">
        <v>0.12</v>
      </c>
      <c r="D12" s="73">
        <v>0.1884</v>
      </c>
    </row>
    <row r="13" ht="17.25" thickTop="1">
      <c r="A13" s="1" t="s">
        <v>103</v>
      </c>
    </row>
    <row r="14" ht="16.5">
      <c r="A14" s="1" t="s">
        <v>104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F11"/>
    </sheetView>
  </sheetViews>
  <sheetFormatPr defaultColWidth="9.140625" defaultRowHeight="12.75"/>
  <cols>
    <col min="1" max="1" width="13.421875" style="55" customWidth="1"/>
    <col min="2" max="2" width="34.8515625" style="55" customWidth="1"/>
    <col min="3" max="3" width="10.28125" style="55" customWidth="1"/>
    <col min="4" max="4" width="10.8515625" style="55" customWidth="1"/>
    <col min="5" max="5" width="9.28125" style="55" customWidth="1"/>
    <col min="6" max="16384" width="9.140625" style="55" customWidth="1"/>
  </cols>
  <sheetData>
    <row r="1" spans="1:6" ht="47.25" customHeight="1" thickTop="1">
      <c r="A1" s="85"/>
      <c r="B1" s="89"/>
      <c r="C1" s="189" t="s">
        <v>109</v>
      </c>
      <c r="D1" s="191" t="s">
        <v>111</v>
      </c>
      <c r="E1" s="192"/>
      <c r="F1" s="193"/>
    </row>
    <row r="2" spans="1:6" ht="21.75" customHeight="1" thickBot="1">
      <c r="A2" s="86" t="s">
        <v>0</v>
      </c>
      <c r="B2" s="90" t="s">
        <v>113</v>
      </c>
      <c r="C2" s="190"/>
      <c r="D2" s="94" t="s">
        <v>105</v>
      </c>
      <c r="E2" s="94" t="s">
        <v>106</v>
      </c>
      <c r="F2" s="93" t="s">
        <v>107</v>
      </c>
    </row>
    <row r="3" spans="1:6" ht="18" customHeight="1" thickTop="1">
      <c r="A3" s="76"/>
      <c r="B3" s="100" t="s">
        <v>114</v>
      </c>
      <c r="C3" s="101">
        <v>0.0025</v>
      </c>
      <c r="D3" s="102">
        <v>20</v>
      </c>
      <c r="E3" s="102">
        <v>10</v>
      </c>
      <c r="F3" s="104" t="s">
        <v>17</v>
      </c>
    </row>
    <row r="4" spans="1:6" ht="18" customHeight="1">
      <c r="A4" s="76"/>
      <c r="B4" s="100" t="s">
        <v>115</v>
      </c>
      <c r="C4" s="101">
        <v>0.0065</v>
      </c>
      <c r="D4" s="105" t="s">
        <v>17</v>
      </c>
      <c r="E4" s="105" t="s">
        <v>17</v>
      </c>
      <c r="F4" s="103">
        <v>0.1</v>
      </c>
    </row>
    <row r="5" spans="1:6" ht="18" customHeight="1">
      <c r="A5" s="76"/>
      <c r="B5" s="100" t="s">
        <v>116</v>
      </c>
      <c r="C5" s="101">
        <v>0.0065</v>
      </c>
      <c r="D5" s="105" t="s">
        <v>17</v>
      </c>
      <c r="E5" s="102">
        <v>0.8</v>
      </c>
      <c r="F5" s="104" t="s">
        <v>17</v>
      </c>
    </row>
    <row r="6" spans="1:6" ht="18" customHeight="1">
      <c r="A6" s="87" t="s">
        <v>18</v>
      </c>
      <c r="B6" s="100" t="s">
        <v>117</v>
      </c>
      <c r="C6" s="101">
        <v>0.0065</v>
      </c>
      <c r="D6" s="102">
        <v>21</v>
      </c>
      <c r="E6" s="102">
        <v>55</v>
      </c>
      <c r="F6" s="104" t="s">
        <v>17</v>
      </c>
    </row>
    <row r="7" spans="1:6" ht="18" customHeight="1">
      <c r="A7" s="76"/>
      <c r="B7" s="100" t="s">
        <v>118</v>
      </c>
      <c r="C7" s="101">
        <v>0.0065</v>
      </c>
      <c r="D7" s="102">
        <v>20</v>
      </c>
      <c r="E7" s="102">
        <v>10</v>
      </c>
      <c r="F7" s="104" t="s">
        <v>17</v>
      </c>
    </row>
    <row r="8" spans="1:6" ht="18" customHeight="1" thickBot="1">
      <c r="A8" s="96"/>
      <c r="B8" s="97" t="s">
        <v>119</v>
      </c>
      <c r="C8" s="98">
        <v>0.0065</v>
      </c>
      <c r="D8" s="106" t="s">
        <v>17</v>
      </c>
      <c r="E8" s="106" t="s">
        <v>17</v>
      </c>
      <c r="F8" s="99">
        <v>2</v>
      </c>
    </row>
    <row r="9" spans="1:6" ht="18" customHeight="1">
      <c r="A9" s="88" t="s">
        <v>110</v>
      </c>
      <c r="B9" s="100" t="s">
        <v>120</v>
      </c>
      <c r="C9" s="101">
        <v>0.38</v>
      </c>
      <c r="D9" s="105" t="s">
        <v>17</v>
      </c>
      <c r="E9" s="105" t="s">
        <v>17</v>
      </c>
      <c r="F9" s="104" t="s">
        <v>17</v>
      </c>
    </row>
    <row r="10" spans="1:6" ht="18" customHeight="1" thickBot="1">
      <c r="A10" s="77"/>
      <c r="B10" s="91" t="s">
        <v>121</v>
      </c>
      <c r="C10" s="92">
        <v>0.38</v>
      </c>
      <c r="D10" s="95">
        <v>0.95</v>
      </c>
      <c r="E10" s="107" t="s">
        <v>17</v>
      </c>
      <c r="F10" s="108" t="s">
        <v>17</v>
      </c>
    </row>
    <row r="11" ht="16.5" thickTop="1">
      <c r="A11" s="1" t="s">
        <v>112</v>
      </c>
    </row>
  </sheetData>
  <mergeCells count="2">
    <mergeCell ref="C1:C2"/>
    <mergeCell ref="D1:F1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:F7"/>
    </sheetView>
  </sheetViews>
  <sheetFormatPr defaultColWidth="9.140625" defaultRowHeight="12.75"/>
  <cols>
    <col min="1" max="1" width="13.421875" style="55" customWidth="1"/>
    <col min="2" max="2" width="34.8515625" style="55" customWidth="1"/>
    <col min="3" max="3" width="10.28125" style="55" customWidth="1"/>
    <col min="4" max="4" width="10.8515625" style="55" customWidth="1"/>
    <col min="5" max="5" width="9.28125" style="55" customWidth="1"/>
    <col min="6" max="16384" width="9.140625" style="55" customWidth="1"/>
  </cols>
  <sheetData>
    <row r="1" spans="1:6" ht="47.25" customHeight="1" thickTop="1">
      <c r="A1" s="85"/>
      <c r="B1" s="89"/>
      <c r="C1" s="189" t="s">
        <v>109</v>
      </c>
      <c r="D1" s="191" t="s">
        <v>111</v>
      </c>
      <c r="E1" s="192"/>
      <c r="F1" s="193"/>
    </row>
    <row r="2" spans="1:6" ht="21.75" customHeight="1" thickBot="1">
      <c r="A2" s="86" t="s">
        <v>0</v>
      </c>
      <c r="B2" s="90" t="s">
        <v>122</v>
      </c>
      <c r="C2" s="190"/>
      <c r="D2" s="94" t="s">
        <v>105</v>
      </c>
      <c r="E2" s="94" t="s">
        <v>106</v>
      </c>
      <c r="F2" s="93" t="s">
        <v>107</v>
      </c>
    </row>
    <row r="3" spans="1:6" ht="18" customHeight="1" thickTop="1">
      <c r="A3" s="76"/>
      <c r="B3" s="100" t="s">
        <v>126</v>
      </c>
      <c r="C3" s="101">
        <v>0.38</v>
      </c>
      <c r="D3" s="109">
        <v>0.2</v>
      </c>
      <c r="E3" s="105"/>
      <c r="F3" s="110">
        <v>0.25</v>
      </c>
    </row>
    <row r="4" spans="1:6" ht="18" customHeight="1">
      <c r="A4" s="87" t="s">
        <v>179</v>
      </c>
      <c r="B4" s="100" t="s">
        <v>123</v>
      </c>
      <c r="C4" s="101">
        <v>0.38</v>
      </c>
      <c r="D4" s="105" t="s">
        <v>17</v>
      </c>
      <c r="E4" s="105" t="s">
        <v>17</v>
      </c>
      <c r="F4" s="104"/>
    </row>
    <row r="5" spans="1:6" ht="18" customHeight="1" thickBot="1">
      <c r="A5" s="96"/>
      <c r="B5" s="97" t="s">
        <v>124</v>
      </c>
      <c r="C5" s="98">
        <v>0.38</v>
      </c>
      <c r="D5" s="106" t="s">
        <v>17</v>
      </c>
      <c r="E5" s="106" t="s">
        <v>17</v>
      </c>
      <c r="F5" s="113"/>
    </row>
    <row r="6" spans="1:6" ht="18" customHeight="1" thickBot="1">
      <c r="A6" s="77" t="s">
        <v>110</v>
      </c>
      <c r="B6" s="91" t="s">
        <v>125</v>
      </c>
      <c r="C6" s="92">
        <v>0.38</v>
      </c>
      <c r="D6" s="111">
        <v>0.02</v>
      </c>
      <c r="E6" s="111">
        <v>0.05</v>
      </c>
      <c r="F6" s="112">
        <v>0.36</v>
      </c>
    </row>
    <row r="7" ht="16.5" thickTop="1">
      <c r="A7" s="1" t="s">
        <v>112</v>
      </c>
    </row>
  </sheetData>
  <mergeCells count="2">
    <mergeCell ref="C1:C2"/>
    <mergeCell ref="D1:F1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A2" sqref="A2:IV2"/>
    </sheetView>
  </sheetViews>
  <sheetFormatPr defaultColWidth="9.140625" defaultRowHeight="12.75"/>
  <cols>
    <col min="1" max="1" width="4.7109375" style="2" bestFit="1" customWidth="1"/>
    <col min="2" max="2" width="27.8515625" style="1" customWidth="1"/>
    <col min="3" max="3" width="20.140625" style="1" bestFit="1" customWidth="1"/>
    <col min="4" max="4" width="7.421875" style="2" bestFit="1" customWidth="1"/>
    <col min="5" max="5" width="6.7109375" style="2" bestFit="1" customWidth="1"/>
    <col min="6" max="6" width="10.8515625" style="1" customWidth="1"/>
    <col min="7" max="7" width="10.140625" style="125" bestFit="1" customWidth="1"/>
    <col min="8" max="8" width="11.28125" style="125" bestFit="1" customWidth="1"/>
    <col min="9" max="9" width="8.00390625" style="125" bestFit="1" customWidth="1"/>
    <col min="10" max="10" width="16.140625" style="1" bestFit="1" customWidth="1"/>
    <col min="11" max="16384" width="9.140625" style="1" customWidth="1"/>
  </cols>
  <sheetData>
    <row r="1" spans="1:10" ht="52.5" thickBot="1" thickTop="1">
      <c r="A1" s="114" t="s">
        <v>127</v>
      </c>
      <c r="B1" s="26" t="s">
        <v>36</v>
      </c>
      <c r="C1" s="26" t="s">
        <v>128</v>
      </c>
      <c r="D1" s="27" t="s">
        <v>129</v>
      </c>
      <c r="E1" s="27" t="s">
        <v>130</v>
      </c>
      <c r="F1" s="27" t="s">
        <v>131</v>
      </c>
      <c r="G1" s="115" t="s">
        <v>132</v>
      </c>
      <c r="H1" s="115" t="s">
        <v>133</v>
      </c>
      <c r="I1" s="115" t="s">
        <v>134</v>
      </c>
      <c r="J1" s="29" t="s">
        <v>40</v>
      </c>
    </row>
    <row r="2" spans="1:10" ht="39.75" customHeight="1" thickTop="1">
      <c r="A2" s="116">
        <v>1</v>
      </c>
      <c r="B2" s="34" t="s">
        <v>44</v>
      </c>
      <c r="C2" s="33" t="s">
        <v>46</v>
      </c>
      <c r="D2" s="35">
        <v>53</v>
      </c>
      <c r="E2" s="117">
        <f>10.75/4</f>
        <v>2.6875</v>
      </c>
      <c r="F2" s="118">
        <v>6.5</v>
      </c>
      <c r="G2" s="118">
        <v>2.6</v>
      </c>
      <c r="H2" s="118">
        <f aca="true" t="shared" si="0" ref="H2:I6">F2*(0.001/453.6)/(0.01*$D2*$E2)</f>
        <v>1.0060416671503404E-05</v>
      </c>
      <c r="I2" s="118">
        <f t="shared" si="0"/>
        <v>4.024166668601361E-06</v>
      </c>
      <c r="J2" s="37" t="s">
        <v>135</v>
      </c>
    </row>
    <row r="3" spans="1:10" ht="24.75" customHeight="1">
      <c r="A3" s="119">
        <v>2</v>
      </c>
      <c r="B3" s="41" t="s">
        <v>50</v>
      </c>
      <c r="C3" s="41" t="s">
        <v>51</v>
      </c>
      <c r="D3" s="43">
        <v>20</v>
      </c>
      <c r="E3" s="120">
        <f>60*(42.75/16)/96</f>
        <v>1.669921875</v>
      </c>
      <c r="F3" s="121">
        <v>952</v>
      </c>
      <c r="G3" s="121">
        <v>499</v>
      </c>
      <c r="H3" s="121">
        <f t="shared" si="0"/>
        <v>0.0062840228142372395</v>
      </c>
      <c r="I3" s="121">
        <f t="shared" si="0"/>
        <v>0.0032938312860340147</v>
      </c>
      <c r="J3" s="122" t="s">
        <v>136</v>
      </c>
    </row>
    <row r="4" spans="1:10" ht="24.75" customHeight="1">
      <c r="A4" s="119">
        <v>3</v>
      </c>
      <c r="B4" s="41" t="s">
        <v>50</v>
      </c>
      <c r="C4" s="41" t="s">
        <v>51</v>
      </c>
      <c r="D4" s="43">
        <v>20</v>
      </c>
      <c r="E4" s="120">
        <f>60*(42.75/16)/96</f>
        <v>1.669921875</v>
      </c>
      <c r="F4" s="121">
        <v>590</v>
      </c>
      <c r="G4" s="121">
        <v>454</v>
      </c>
      <c r="H4" s="121">
        <f t="shared" si="0"/>
        <v>0.0038945099373949273</v>
      </c>
      <c r="I4" s="121">
        <f t="shared" si="0"/>
        <v>0.0029967923925038934</v>
      </c>
      <c r="J4" s="122" t="s">
        <v>136</v>
      </c>
    </row>
    <row r="5" spans="1:10" ht="24.75" customHeight="1">
      <c r="A5" s="119">
        <v>4</v>
      </c>
      <c r="B5" s="41" t="s">
        <v>50</v>
      </c>
      <c r="C5" s="41" t="s">
        <v>51</v>
      </c>
      <c r="D5" s="43">
        <v>16</v>
      </c>
      <c r="E5" s="120">
        <f>60*(39.5/16)/96</f>
        <v>1.54296875</v>
      </c>
      <c r="F5" s="121">
        <v>590</v>
      </c>
      <c r="G5" s="121">
        <v>417</v>
      </c>
      <c r="H5" s="121">
        <f t="shared" si="0"/>
        <v>0.005268680374165605</v>
      </c>
      <c r="I5" s="121">
        <f t="shared" si="0"/>
        <v>0.0037237961288594194</v>
      </c>
      <c r="J5" s="122" t="s">
        <v>137</v>
      </c>
    </row>
    <row r="6" spans="1:10" ht="24.75" customHeight="1">
      <c r="A6" s="119">
        <v>5</v>
      </c>
      <c r="B6" s="41" t="s">
        <v>50</v>
      </c>
      <c r="C6" s="41" t="s">
        <v>51</v>
      </c>
      <c r="D6" s="43">
        <v>16</v>
      </c>
      <c r="E6" s="120">
        <f>60*(39.5/16)/96</f>
        <v>1.54296875</v>
      </c>
      <c r="F6" s="121">
        <v>499</v>
      </c>
      <c r="G6" s="121">
        <v>381</v>
      </c>
      <c r="H6" s="121">
        <f t="shared" si="0"/>
        <v>0.00445605340120108</v>
      </c>
      <c r="I6" s="121">
        <f t="shared" si="0"/>
        <v>0.003402317326367959</v>
      </c>
      <c r="J6" s="122" t="s">
        <v>137</v>
      </c>
    </row>
    <row r="7" spans="1:10" ht="17.25" customHeight="1">
      <c r="A7" s="119">
        <v>6</v>
      </c>
      <c r="B7" s="41" t="s">
        <v>54</v>
      </c>
      <c r="C7" s="41" t="s">
        <v>56</v>
      </c>
      <c r="D7" s="43">
        <f>((15*20)+25*((75*(3*51.996/180.01))+5))/(15+25)</f>
        <v>51.24461835453586</v>
      </c>
      <c r="E7" s="120">
        <f>(1.5/55)*60</f>
        <v>1.6363636363636362</v>
      </c>
      <c r="F7" s="121" t="s">
        <v>138</v>
      </c>
      <c r="G7" s="121">
        <f>(0.005+0.004)*453.6*1000</f>
        <v>4082.4000000000005</v>
      </c>
      <c r="H7" s="121" t="s">
        <v>146</v>
      </c>
      <c r="I7" s="121">
        <f aca="true" t="shared" si="1" ref="I7:I19">G7*(0.001/453.6)/(0.01*$D7*$E7)</f>
        <v>0.010732834347498216</v>
      </c>
      <c r="J7" s="122" t="s">
        <v>69</v>
      </c>
    </row>
    <row r="8" spans="1:10" ht="17.25" customHeight="1">
      <c r="A8" s="119">
        <v>7</v>
      </c>
      <c r="B8" s="41" t="s">
        <v>54</v>
      </c>
      <c r="C8" s="41" t="s">
        <v>56</v>
      </c>
      <c r="D8" s="43">
        <f>(75*3*51.996/180.01)+(25*51.996/(51.996+58.7))</f>
        <v>76.7343611096871</v>
      </c>
      <c r="E8" s="120">
        <f>1.5*60/65</f>
        <v>1.3846153846153846</v>
      </c>
      <c r="F8" s="121" t="s">
        <v>138</v>
      </c>
      <c r="G8" s="121">
        <f>(0.008+0.006)*453.6*1000</f>
        <v>6350.400000000001</v>
      </c>
      <c r="H8" s="121" t="s">
        <v>138</v>
      </c>
      <c r="I8" s="121">
        <f t="shared" si="1"/>
        <v>0.01317677109040876</v>
      </c>
      <c r="J8" s="122" t="s">
        <v>69</v>
      </c>
    </row>
    <row r="9" spans="1:11" ht="17.25" customHeight="1">
      <c r="A9" s="119">
        <v>8</v>
      </c>
      <c r="B9" s="41" t="s">
        <v>66</v>
      </c>
      <c r="C9" s="41" t="s">
        <v>51</v>
      </c>
      <c r="D9" s="43">
        <f>99.76*2*51.996/152.02</f>
        <v>68.24261228785686</v>
      </c>
      <c r="E9" s="120">
        <v>5.36</v>
      </c>
      <c r="F9" s="121">
        <f>0.283*453.6*1000</f>
        <v>128368.79999999999</v>
      </c>
      <c r="G9" s="121">
        <f>0.00037*453.6*1000</f>
        <v>167.83200000000002</v>
      </c>
      <c r="H9" s="121">
        <f aca="true" t="shared" si="2" ref="H9:H19">F9*(0.001/453.6)/(0.01*$D9*$E9)</f>
        <v>0.07736882527294689</v>
      </c>
      <c r="I9" s="121">
        <f t="shared" si="1"/>
        <v>0.00010115358781268675</v>
      </c>
      <c r="J9" s="122" t="s">
        <v>139</v>
      </c>
      <c r="K9" s="46"/>
    </row>
    <row r="10" spans="1:10" ht="17.25" customHeight="1">
      <c r="A10" s="119">
        <v>9</v>
      </c>
      <c r="B10" s="41" t="s">
        <v>66</v>
      </c>
      <c r="C10" s="41" t="s">
        <v>51</v>
      </c>
      <c r="D10" s="43">
        <f>99.76*2*51.996/152.02</f>
        <v>68.24261228785686</v>
      </c>
      <c r="E10" s="120">
        <v>5.36</v>
      </c>
      <c r="F10" s="121">
        <f>0.171*453.6*1000</f>
        <v>77565.6</v>
      </c>
      <c r="G10" s="121">
        <f>0.00024*453.6*1000</f>
        <v>108.864</v>
      </c>
      <c r="H10" s="121">
        <f t="shared" si="2"/>
        <v>0.04674936085397144</v>
      </c>
      <c r="I10" s="121">
        <f t="shared" si="1"/>
        <v>6.561313804066168E-05</v>
      </c>
      <c r="J10" s="122" t="s">
        <v>139</v>
      </c>
    </row>
    <row r="11" spans="1:10" ht="17.25" customHeight="1">
      <c r="A11" s="119">
        <v>10</v>
      </c>
      <c r="B11" s="41" t="s">
        <v>66</v>
      </c>
      <c r="C11" s="41" t="s">
        <v>51</v>
      </c>
      <c r="D11" s="43">
        <f>99.76*2*51.996/152.02</f>
        <v>68.24261228785686</v>
      </c>
      <c r="E11" s="120">
        <v>5.83</v>
      </c>
      <c r="F11" s="121">
        <f>0.22*453.6*1000</f>
        <v>99792</v>
      </c>
      <c r="G11" s="121">
        <f>0.00025*453.6*1000</f>
        <v>113.40000000000002</v>
      </c>
      <c r="H11" s="121">
        <f t="shared" si="2"/>
        <v>0.05529660690219285</v>
      </c>
      <c r="I11" s="121">
        <f t="shared" si="1"/>
        <v>6.283705329794644E-05</v>
      </c>
      <c r="J11" s="122" t="s">
        <v>139</v>
      </c>
    </row>
    <row r="12" spans="1:11" ht="17.25" customHeight="1">
      <c r="A12" s="119">
        <v>11</v>
      </c>
      <c r="B12" s="41" t="s">
        <v>66</v>
      </c>
      <c r="C12" s="41" t="s">
        <v>51</v>
      </c>
      <c r="D12" s="43">
        <v>19.3</v>
      </c>
      <c r="E12" s="120">
        <v>8.25</v>
      </c>
      <c r="F12" s="121">
        <f>0.148*453.6*1000</f>
        <v>67132.8</v>
      </c>
      <c r="G12" s="121">
        <f>0.00014*453.6*1000</f>
        <v>63.50399999999999</v>
      </c>
      <c r="H12" s="121">
        <f t="shared" si="2"/>
        <v>0.09295022766525357</v>
      </c>
      <c r="I12" s="121">
        <f t="shared" si="1"/>
        <v>8.792589103469931E-05</v>
      </c>
      <c r="J12" s="122" t="s">
        <v>140</v>
      </c>
      <c r="K12" s="46"/>
    </row>
    <row r="13" spans="1:10" ht="17.25" customHeight="1">
      <c r="A13" s="119">
        <v>12</v>
      </c>
      <c r="B13" s="41" t="s">
        <v>66</v>
      </c>
      <c r="C13" s="41" t="s">
        <v>51</v>
      </c>
      <c r="D13" s="43">
        <v>19.3</v>
      </c>
      <c r="E13" s="120">
        <v>8.7</v>
      </c>
      <c r="F13" s="121">
        <f>0.07*453.6*1000</f>
        <v>31752.000000000007</v>
      </c>
      <c r="G13" s="121">
        <f>0.00021*453.6*1000</f>
        <v>95.256</v>
      </c>
      <c r="H13" s="121">
        <f t="shared" si="2"/>
        <v>0.041689000059555725</v>
      </c>
      <c r="I13" s="121">
        <f t="shared" si="1"/>
        <v>0.00012506700017866714</v>
      </c>
      <c r="J13" s="122" t="s">
        <v>140</v>
      </c>
    </row>
    <row r="14" spans="1:10" ht="17.25" customHeight="1">
      <c r="A14" s="119">
        <v>13</v>
      </c>
      <c r="B14" s="41" t="s">
        <v>66</v>
      </c>
      <c r="C14" s="41" t="s">
        <v>51</v>
      </c>
      <c r="D14" s="43">
        <v>19.3</v>
      </c>
      <c r="E14" s="120">
        <v>8.81</v>
      </c>
      <c r="F14" s="121">
        <f>0.138*453.6*1000</f>
        <v>62596.80000000001</v>
      </c>
      <c r="G14" s="121">
        <f>0.00018*453.6*1000</f>
        <v>81.64800000000001</v>
      </c>
      <c r="H14" s="121">
        <f t="shared" si="2"/>
        <v>0.08116071586103873</v>
      </c>
      <c r="I14" s="121">
        <f t="shared" si="1"/>
        <v>0.00010586180329700705</v>
      </c>
      <c r="J14" s="122" t="s">
        <v>140</v>
      </c>
    </row>
    <row r="15" spans="1:10" ht="17.25" customHeight="1">
      <c r="A15" s="119">
        <v>14</v>
      </c>
      <c r="B15" s="41" t="s">
        <v>59</v>
      </c>
      <c r="C15" s="41" t="s">
        <v>56</v>
      </c>
      <c r="D15" s="43">
        <v>19.34</v>
      </c>
      <c r="E15" s="120">
        <v>9.5</v>
      </c>
      <c r="F15" s="121">
        <v>7998</v>
      </c>
      <c r="G15" s="121">
        <v>1109</v>
      </c>
      <c r="H15" s="121">
        <f t="shared" si="2"/>
        <v>0.009596840544426674</v>
      </c>
      <c r="I15" s="121">
        <f t="shared" si="1"/>
        <v>0.001330694694144684</v>
      </c>
      <c r="J15" s="122" t="s">
        <v>140</v>
      </c>
    </row>
    <row r="16" spans="1:10" ht="17.25" customHeight="1">
      <c r="A16" s="119">
        <v>15</v>
      </c>
      <c r="B16" s="41" t="s">
        <v>59</v>
      </c>
      <c r="C16" s="41" t="s">
        <v>56</v>
      </c>
      <c r="D16" s="43">
        <f>99.65*51.996/(51.996+(2*15.9994))</f>
        <v>61.68716872949279</v>
      </c>
      <c r="E16" s="120">
        <v>2.5</v>
      </c>
      <c r="F16" s="121">
        <v>160792</v>
      </c>
      <c r="G16" s="121">
        <v>10077</v>
      </c>
      <c r="H16" s="121">
        <f t="shared" si="2"/>
        <v>0.2298563705314447</v>
      </c>
      <c r="I16" s="121">
        <f t="shared" si="1"/>
        <v>0.014405335127651676</v>
      </c>
      <c r="J16" s="122" t="s">
        <v>141</v>
      </c>
    </row>
    <row r="17" spans="1:10" ht="17.25" customHeight="1">
      <c r="A17" s="119">
        <v>16</v>
      </c>
      <c r="B17" s="41" t="s">
        <v>62</v>
      </c>
      <c r="C17" s="41" t="s">
        <v>142</v>
      </c>
      <c r="D17" s="43">
        <v>44</v>
      </c>
      <c r="E17" s="120">
        <f>19.2-11.1</f>
        <v>8.1</v>
      </c>
      <c r="F17" s="121">
        <f>2.13*1000</f>
        <v>2130</v>
      </c>
      <c r="G17" s="121">
        <f>2.01*1000</f>
        <v>2009.9999999999998</v>
      </c>
      <c r="H17" s="121">
        <f t="shared" si="2"/>
        <v>0.0013175553299010086</v>
      </c>
      <c r="I17" s="121">
        <f t="shared" si="1"/>
        <v>0.0012433268606108108</v>
      </c>
      <c r="J17" s="122" t="s">
        <v>143</v>
      </c>
    </row>
    <row r="18" spans="1:10" ht="17.25" customHeight="1">
      <c r="A18" s="119">
        <v>17</v>
      </c>
      <c r="B18" s="41" t="s">
        <v>62</v>
      </c>
      <c r="C18" s="41" t="s">
        <v>144</v>
      </c>
      <c r="D18" s="43">
        <v>44</v>
      </c>
      <c r="E18" s="120">
        <f>19.2-11.1</f>
        <v>8.1</v>
      </c>
      <c r="F18" s="121">
        <f>1.46*1000</f>
        <v>1460</v>
      </c>
      <c r="G18" s="121">
        <f>1.09*1000</f>
        <v>1090</v>
      </c>
      <c r="H18" s="121">
        <f t="shared" si="2"/>
        <v>0.0009031130430307384</v>
      </c>
      <c r="I18" s="121">
        <f t="shared" si="1"/>
        <v>0.0006742419293859622</v>
      </c>
      <c r="J18" s="122" t="s">
        <v>143</v>
      </c>
    </row>
    <row r="19" spans="1:10" ht="17.25" customHeight="1" thickBot="1">
      <c r="A19" s="123">
        <v>18</v>
      </c>
      <c r="B19" s="16" t="s">
        <v>62</v>
      </c>
      <c r="C19" s="16" t="s">
        <v>142</v>
      </c>
      <c r="D19" s="48">
        <v>4</v>
      </c>
      <c r="E19" s="48">
        <v>8</v>
      </c>
      <c r="F19" s="124">
        <f>15.6*1000</f>
        <v>15600</v>
      </c>
      <c r="G19" s="124">
        <f>0.0156*1000</f>
        <v>15.6</v>
      </c>
      <c r="H19" s="124">
        <f t="shared" si="2"/>
        <v>0.10747354497354497</v>
      </c>
      <c r="I19" s="124">
        <f t="shared" si="1"/>
        <v>0.00010747354497354496</v>
      </c>
      <c r="J19" s="50" t="s">
        <v>145</v>
      </c>
    </row>
    <row r="20" ht="17.25" customHeight="1" thickTop="1">
      <c r="A20" s="52" t="s">
        <v>147</v>
      </c>
    </row>
  </sheetData>
  <printOptions horizontalCentered="1"/>
  <pageMargins left="0.75" right="0.75" top="1.6" bottom="0.84" header="0.78" footer="0.5"/>
  <pageSetup horizontalDpi="300" verticalDpi="300" orientation="landscape" r:id="rId1"/>
  <headerFooter alignWithMargins="0">
    <oddHeader>&amp;C&amp;"Times New Roman,Bold"&amp;12Table 2-7
TOTAL AND HEXAVALENT EMISSION TEST RESULTS AND EMISSION FACTOR CALCULATIONS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showGridLines="0" workbookViewId="0" topLeftCell="A1">
      <selection activeCell="C12" sqref="C12"/>
    </sheetView>
  </sheetViews>
  <sheetFormatPr defaultColWidth="9.140625" defaultRowHeight="12.75"/>
  <cols>
    <col min="1" max="1" width="21.421875" style="55" customWidth="1"/>
    <col min="2" max="2" width="10.28125" style="55" bestFit="1" customWidth="1"/>
    <col min="3" max="3" width="10.140625" style="55" bestFit="1" customWidth="1"/>
    <col min="4" max="16384" width="9.140625" style="55" customWidth="1"/>
  </cols>
  <sheetData>
    <row r="1" spans="1:8" ht="19.5" thickTop="1">
      <c r="A1" s="126"/>
      <c r="B1" s="194" t="s">
        <v>160</v>
      </c>
      <c r="C1" s="195"/>
      <c r="D1" s="195"/>
      <c r="E1" s="195"/>
      <c r="F1" s="195"/>
      <c r="G1" s="195"/>
      <c r="H1" s="196"/>
    </row>
    <row r="2" spans="1:8" ht="15.75">
      <c r="A2" s="76"/>
      <c r="B2" s="127"/>
      <c r="C2" s="127"/>
      <c r="D2" s="127"/>
      <c r="E2" s="127"/>
      <c r="F2" s="127"/>
      <c r="G2" s="197" t="s">
        <v>148</v>
      </c>
      <c r="H2" s="198"/>
    </row>
    <row r="3" spans="1:8" ht="32.25" thickBot="1">
      <c r="A3" s="128" t="s">
        <v>149</v>
      </c>
      <c r="B3" s="129" t="s">
        <v>150</v>
      </c>
      <c r="C3" s="129" t="s">
        <v>151</v>
      </c>
      <c r="D3" s="129" t="s">
        <v>152</v>
      </c>
      <c r="E3" s="129" t="s">
        <v>153</v>
      </c>
      <c r="F3" s="130" t="s">
        <v>154</v>
      </c>
      <c r="G3" s="129" t="s">
        <v>155</v>
      </c>
      <c r="H3" s="93" t="s">
        <v>156</v>
      </c>
    </row>
    <row r="4" spans="1:8" ht="19.5" customHeight="1" thickTop="1">
      <c r="A4" s="131" t="s">
        <v>159</v>
      </c>
      <c r="B4" s="135">
        <v>0.0009</v>
      </c>
      <c r="C4" s="132">
        <v>0.23</v>
      </c>
      <c r="D4" s="133">
        <v>0.042</v>
      </c>
      <c r="E4" s="133">
        <v>0.051</v>
      </c>
      <c r="F4" s="134">
        <v>0.062</v>
      </c>
      <c r="G4" s="133">
        <v>0.017</v>
      </c>
      <c r="H4" s="138">
        <v>0.085</v>
      </c>
    </row>
    <row r="5" spans="1:8" ht="19.5" customHeight="1" thickBot="1">
      <c r="A5" s="77" t="s">
        <v>158</v>
      </c>
      <c r="B5" s="137">
        <v>6.3E-05</v>
      </c>
      <c r="C5" s="136">
        <v>0.0144</v>
      </c>
      <c r="D5" s="136">
        <v>0.0012</v>
      </c>
      <c r="E5" s="136">
        <v>0.0033</v>
      </c>
      <c r="F5" s="136">
        <v>0.0048</v>
      </c>
      <c r="G5" s="136">
        <v>0.0008</v>
      </c>
      <c r="H5" s="139">
        <v>0.0057</v>
      </c>
    </row>
    <row r="6" ht="19.5" thickTop="1">
      <c r="A6" s="55" t="s">
        <v>157</v>
      </c>
    </row>
  </sheetData>
  <mergeCells count="2">
    <mergeCell ref="B1:H1"/>
    <mergeCell ref="G2:H2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G3" sqref="G3"/>
    </sheetView>
  </sheetViews>
  <sheetFormatPr defaultColWidth="9.140625" defaultRowHeight="12.75"/>
  <cols>
    <col min="1" max="1" width="4.7109375" style="2" bestFit="1" customWidth="1"/>
    <col min="2" max="2" width="22.7109375" style="1" bestFit="1" customWidth="1"/>
    <col min="3" max="3" width="20.140625" style="1" bestFit="1" customWidth="1"/>
    <col min="4" max="5" width="9.140625" style="2" customWidth="1"/>
    <col min="6" max="6" width="11.57421875" style="2" customWidth="1"/>
    <col min="7" max="7" width="9.140625" style="125" customWidth="1"/>
    <col min="8" max="8" width="26.7109375" style="1" bestFit="1" customWidth="1"/>
    <col min="9" max="16384" width="9.140625" style="1" customWidth="1"/>
  </cols>
  <sheetData>
    <row r="1" spans="1:8" ht="52.5" thickBot="1" thickTop="1">
      <c r="A1" s="114" t="s">
        <v>127</v>
      </c>
      <c r="B1" s="26" t="s">
        <v>36</v>
      </c>
      <c r="C1" s="26" t="s">
        <v>128</v>
      </c>
      <c r="D1" s="27" t="s">
        <v>161</v>
      </c>
      <c r="E1" s="27" t="s">
        <v>130</v>
      </c>
      <c r="F1" s="27" t="s">
        <v>162</v>
      </c>
      <c r="G1" s="115" t="s">
        <v>163</v>
      </c>
      <c r="H1" s="29" t="s">
        <v>40</v>
      </c>
    </row>
    <row r="2" spans="1:8" ht="18" customHeight="1" thickTop="1">
      <c r="A2" s="116">
        <v>1</v>
      </c>
      <c r="B2" s="34" t="s">
        <v>54</v>
      </c>
      <c r="C2" s="34" t="s">
        <v>56</v>
      </c>
      <c r="D2" s="35">
        <f>((15*20)+(25*80))/(15+25)</f>
        <v>57.5</v>
      </c>
      <c r="E2" s="117">
        <f>(1.5/55)*60</f>
        <v>1.6363636363636362</v>
      </c>
      <c r="F2" s="140">
        <f>(0.023+0.017)*453.6*1000</f>
        <v>18144.000000000004</v>
      </c>
      <c r="G2" s="118">
        <f aca="true" t="shared" si="0" ref="G2:G8">F2*(0.001/453.6)/(0.01*$D2*$E2)</f>
        <v>0.042512077294686</v>
      </c>
      <c r="H2" s="37" t="s">
        <v>164</v>
      </c>
    </row>
    <row r="3" spans="1:8" ht="18" customHeight="1">
      <c r="A3" s="119">
        <v>2</v>
      </c>
      <c r="B3" s="41" t="s">
        <v>54</v>
      </c>
      <c r="C3" s="41" t="s">
        <v>56</v>
      </c>
      <c r="D3" s="141">
        <f>25*58.7/(58.7+51.996)</f>
        <v>13.257028257570283</v>
      </c>
      <c r="E3" s="120">
        <f>1.5*60/65</f>
        <v>1.3846153846153846</v>
      </c>
      <c r="F3" s="142">
        <f>(0.032+0.014)*453.6*1000</f>
        <v>20865.600000000002</v>
      </c>
      <c r="G3" s="121">
        <f t="shared" si="0"/>
        <v>0.25060082528866173</v>
      </c>
      <c r="H3" s="45" t="s">
        <v>164</v>
      </c>
    </row>
    <row r="4" spans="1:8" ht="18" customHeight="1">
      <c r="A4" s="119">
        <v>3</v>
      </c>
      <c r="B4" s="41" t="s">
        <v>66</v>
      </c>
      <c r="C4" s="41" t="s">
        <v>51</v>
      </c>
      <c r="D4" s="141">
        <v>79</v>
      </c>
      <c r="E4" s="120">
        <v>8.25</v>
      </c>
      <c r="F4" s="142">
        <f>0.35*453.6*1000</f>
        <v>158760</v>
      </c>
      <c r="G4" s="121">
        <f t="shared" si="0"/>
        <v>0.053701572688914456</v>
      </c>
      <c r="H4" s="45" t="s">
        <v>165</v>
      </c>
    </row>
    <row r="5" spans="1:8" ht="18" customHeight="1">
      <c r="A5" s="119">
        <v>4</v>
      </c>
      <c r="B5" s="41" t="s">
        <v>66</v>
      </c>
      <c r="C5" s="41" t="s">
        <v>51</v>
      </c>
      <c r="D5" s="141">
        <v>79</v>
      </c>
      <c r="E5" s="120">
        <v>8.7</v>
      </c>
      <c r="F5" s="142">
        <f>0.379*453.6*1000</f>
        <v>171914.4</v>
      </c>
      <c r="G5" s="121">
        <f t="shared" si="0"/>
        <v>0.05514331441873999</v>
      </c>
      <c r="H5" s="45" t="s">
        <v>165</v>
      </c>
    </row>
    <row r="6" spans="1:8" ht="18" customHeight="1">
      <c r="A6" s="119">
        <v>5</v>
      </c>
      <c r="B6" s="41" t="s">
        <v>66</v>
      </c>
      <c r="C6" s="41" t="s">
        <v>51</v>
      </c>
      <c r="D6" s="141">
        <v>79</v>
      </c>
      <c r="E6" s="120">
        <v>8.81</v>
      </c>
      <c r="F6" s="142">
        <f>0.389*453.6*1000</f>
        <v>176450.4</v>
      </c>
      <c r="G6" s="121">
        <f t="shared" si="0"/>
        <v>0.05589160763804076</v>
      </c>
      <c r="H6" s="45" t="s">
        <v>165</v>
      </c>
    </row>
    <row r="7" spans="1:8" ht="18" customHeight="1">
      <c r="A7" s="119">
        <v>6</v>
      </c>
      <c r="B7" s="41" t="s">
        <v>62</v>
      </c>
      <c r="C7" s="41" t="s">
        <v>142</v>
      </c>
      <c r="D7" s="39">
        <v>4</v>
      </c>
      <c r="E7" s="120">
        <f>60*(21.9-12.2)/68</f>
        <v>8.558823529411764</v>
      </c>
      <c r="F7" s="142">
        <v>141000</v>
      </c>
      <c r="G7" s="121">
        <f t="shared" si="0"/>
        <v>0.9079710540191639</v>
      </c>
      <c r="H7" s="45" t="s">
        <v>166</v>
      </c>
    </row>
    <row r="8" spans="1:8" ht="18" customHeight="1" thickBot="1">
      <c r="A8" s="123">
        <v>7</v>
      </c>
      <c r="B8" s="16" t="s">
        <v>62</v>
      </c>
      <c r="C8" s="16" t="s">
        <v>144</v>
      </c>
      <c r="D8" s="48">
        <v>4</v>
      </c>
      <c r="E8" s="143">
        <f>60*(21.9-12.2)/68</f>
        <v>8.558823529411764</v>
      </c>
      <c r="F8" s="144">
        <f>6.55*1000</f>
        <v>6550</v>
      </c>
      <c r="G8" s="124">
        <f t="shared" si="0"/>
        <v>0.04217879719025194</v>
      </c>
      <c r="H8" s="50" t="s">
        <v>166</v>
      </c>
    </row>
    <row r="9" ht="13.5" thickTop="1"/>
  </sheetData>
  <printOptions horizontalCentered="1"/>
  <pageMargins left="0.75" right="0.75" top="1.53" bottom="1" header="0.63" footer="0.5"/>
  <pageSetup horizontalDpi="300" verticalDpi="300" orientation="landscape" r:id="rId1"/>
  <headerFooter alignWithMargins="0">
    <oddHeader>&amp;C&amp;"Times New Roman,Bold"&amp;12Table 2-9
NICKEL TEST RESULTS AND EMISSION FACTOR CALCULATIONS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CA_0023</dc:creator>
  <cp:keywords/>
  <dc:description/>
  <cp:lastModifiedBy>CA_0023</cp:lastModifiedBy>
  <cp:lastPrinted>2000-08-31T19:47:56Z</cp:lastPrinted>
  <dcterms:created xsi:type="dcterms:W3CDTF">2000-06-01T20:16:24Z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