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S:\PBSU\BSS\FORMS MANAGEMENT\FORMS\FORMS QUEUE\Aaron\OBD 116\2023_ECCD_OBD_116\"/>
    </mc:Choice>
  </mc:AlternateContent>
  <xr:revisionPtr revIDLastSave="0" documentId="13_ncr:1_{D1CC4CFB-2C1D-4C7C-AFD9-2AEE1D72543B}" xr6:coauthVersionLast="47" xr6:coauthVersionMax="47" xr10:uidLastSave="{00000000-0000-0000-0000-000000000000}"/>
  <bookViews>
    <workbookView xWindow="28680" yWindow="-120" windowWidth="29040" windowHeight="15840" xr2:uid="{00000000-000D-0000-FFFF-FFFF00000000}"/>
  </bookViews>
  <sheets>
    <sheet name="Rate-Based Data" sheetId="21" r:id="rId1"/>
    <sheet name="J1979-2 Rate-Based Data" sheetId="24" r:id="rId2"/>
    <sheet name="SMAD" sheetId="23" r:id="rId3"/>
    <sheet name="REAL NOx Data" sheetId="15" r:id="rId4"/>
    <sheet name="REAL GHG Data" sheetId="26" r:id="rId5"/>
    <sheet name="OBD Snapshot Data" sheetId="4" r:id="rId6"/>
    <sheet name="Diesel CSERS Tracking Data" sheetId="13" r:id="rId7"/>
    <sheet name="Instructions" sheetId="22" r:id="rId8"/>
  </sheets>
  <definedNames>
    <definedName name="BoostDen_Range" localSheetId="0">'Rate-Based Data'!$AI$38:$AI$67</definedName>
    <definedName name="EGR_VVTDen_Range" localSheetId="0">'Rate-Based Data'!$AC$38:$AC$67</definedName>
    <definedName name="ExhGasSenDen" localSheetId="0">'Rate-Based Data'!$Z$38:$Z$67</definedName>
    <definedName name="ExhGasSenNum" localSheetId="0">'Rate-Based Data'!$Y$38:$Y$67</definedName>
    <definedName name="FuelSysDen_Range" localSheetId="0">'Rate-Based Data'!$AL$38:$AL$67</definedName>
    <definedName name="GenD_Range" localSheetId="0">'Rate-Based Data'!$M$38:$M$67</definedName>
    <definedName name="Ign_Range" localSheetId="0">'Rate-Based Data'!$N$38:$N$67</definedName>
    <definedName name="NMHCCatDen_Range" localSheetId="0">'Rate-Based Data'!$Q$38:$Q$67</definedName>
    <definedName name="NMHCCatNum_Range" localSheetId="0">'Rate-Based Data'!$P$38:$P$67</definedName>
    <definedName name="NOxAdsDen_Range" localSheetId="0">'Rate-Based Data'!$W$38:$W$67</definedName>
    <definedName name="NOxAdsNum_Range" localSheetId="0">'Rate-Based Data'!$V$38:$V$67</definedName>
    <definedName name="NOxCatDen_Range" localSheetId="0">'Rate-Based Data'!$T$38:$T$67</definedName>
    <definedName name="NOxCatNum_Range" localSheetId="0">'Rate-Based Data'!$S$38:$S$67</definedName>
    <definedName name="ODO_Range" localSheetId="0">'Rate-Based Data'!$K$38:$K$67</definedName>
    <definedName name="PHEV_Ign_Range" localSheetId="0">'Rate-Based Data'!$O$38:$O$67</definedName>
    <definedName name="PMFltrDen_Range" localSheetId="0">'Rate-Based Data'!$AO$38:$AO$67</definedName>
    <definedName name="PMFltrlNum_Range" localSheetId="0">'Rate-Based Data'!$AN$38:$AN$67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21" l="1"/>
  <c r="AF67" i="21"/>
  <c r="AE67" i="21"/>
  <c r="AF66" i="21"/>
  <c r="AE66" i="21"/>
  <c r="AF65" i="21"/>
  <c r="AE65" i="21"/>
  <c r="AG65" i="21" s="1"/>
  <c r="AF64" i="21"/>
  <c r="AE64" i="21"/>
  <c r="AF63" i="21"/>
  <c r="AE63" i="21"/>
  <c r="AF62" i="21"/>
  <c r="AE62" i="21"/>
  <c r="AF61" i="21"/>
  <c r="AE61" i="21"/>
  <c r="AG61" i="21" s="1"/>
  <c r="AF60" i="21"/>
  <c r="AE60" i="21"/>
  <c r="AF59" i="21"/>
  <c r="AE59" i="21"/>
  <c r="AF58" i="21"/>
  <c r="AE58" i="21"/>
  <c r="AF57" i="21"/>
  <c r="AE57" i="21"/>
  <c r="AG57" i="21" s="1"/>
  <c r="AF56" i="21"/>
  <c r="AE56" i="21"/>
  <c r="AF55" i="21"/>
  <c r="AE55" i="21"/>
  <c r="AF54" i="21"/>
  <c r="AE54" i="21"/>
  <c r="AF53" i="21"/>
  <c r="AE53" i="21"/>
  <c r="AG53" i="21" s="1"/>
  <c r="AF52" i="21"/>
  <c r="AE52" i="21"/>
  <c r="AF51" i="21"/>
  <c r="AE51" i="21"/>
  <c r="AF50" i="21"/>
  <c r="AE50" i="21"/>
  <c r="AF49" i="21"/>
  <c r="AE49" i="21"/>
  <c r="AG49" i="21" s="1"/>
  <c r="AF48" i="21"/>
  <c r="AE48" i="21"/>
  <c r="AF47" i="21"/>
  <c r="AE47" i="21"/>
  <c r="AF46" i="21"/>
  <c r="AE46" i="21"/>
  <c r="AF45" i="21"/>
  <c r="AE45" i="21"/>
  <c r="AG45" i="21" s="1"/>
  <c r="AF44" i="21"/>
  <c r="AE44" i="21"/>
  <c r="AF43" i="21"/>
  <c r="AE43" i="21"/>
  <c r="AF42" i="21"/>
  <c r="AE42" i="21"/>
  <c r="AF41" i="21"/>
  <c r="AE41" i="21"/>
  <c r="AG41" i="21" s="1"/>
  <c r="AF40" i="21"/>
  <c r="AE40" i="21"/>
  <c r="AF39" i="21"/>
  <c r="AE39" i="21"/>
  <c r="AF38" i="21"/>
  <c r="AE38" i="21"/>
  <c r="AH38" i="21"/>
  <c r="AI38" i="21"/>
  <c r="AH39" i="21"/>
  <c r="AI39" i="21"/>
  <c r="AH40" i="21"/>
  <c r="AJ40" i="21" s="1"/>
  <c r="AI40" i="21"/>
  <c r="AH41" i="21"/>
  <c r="AJ41" i="21" s="1"/>
  <c r="AI41" i="21"/>
  <c r="AH42" i="21"/>
  <c r="AI42" i="21"/>
  <c r="AH43" i="21"/>
  <c r="AI43" i="21"/>
  <c r="AH44" i="21"/>
  <c r="AJ44" i="21" s="1"/>
  <c r="AI44" i="21"/>
  <c r="AH45" i="21"/>
  <c r="AJ45" i="21" s="1"/>
  <c r="AI45" i="21"/>
  <c r="AH46" i="21"/>
  <c r="AI46" i="21"/>
  <c r="AH47" i="21"/>
  <c r="AI47" i="21"/>
  <c r="AH48" i="21"/>
  <c r="AI48" i="21"/>
  <c r="AH49" i="21"/>
  <c r="AJ49" i="21" s="1"/>
  <c r="AI49" i="21"/>
  <c r="AH50" i="21"/>
  <c r="AI50" i="21"/>
  <c r="AH51" i="21"/>
  <c r="AI51" i="21"/>
  <c r="AH52" i="21"/>
  <c r="AI52" i="21"/>
  <c r="AH53" i="21"/>
  <c r="AJ53" i="21" s="1"/>
  <c r="AI53" i="21"/>
  <c r="AH54" i="21"/>
  <c r="AI54" i="21"/>
  <c r="AH55" i="21"/>
  <c r="AI55" i="21"/>
  <c r="AH56" i="21"/>
  <c r="AI56" i="21"/>
  <c r="AH57" i="21"/>
  <c r="AJ57" i="21" s="1"/>
  <c r="AI57" i="21"/>
  <c r="AH58" i="21"/>
  <c r="AI58" i="21"/>
  <c r="AH59" i="21"/>
  <c r="AI59" i="21"/>
  <c r="AH60" i="21"/>
  <c r="AI60" i="21"/>
  <c r="AH61" i="21"/>
  <c r="AJ61" i="21" s="1"/>
  <c r="AI61" i="21"/>
  <c r="AH62" i="21"/>
  <c r="AI62" i="21"/>
  <c r="AH63" i="21"/>
  <c r="AI63" i="21"/>
  <c r="AH64" i="21"/>
  <c r="AI64" i="21"/>
  <c r="AH65" i="21"/>
  <c r="AJ65" i="21" s="1"/>
  <c r="AI65" i="21"/>
  <c r="AH66" i="21"/>
  <c r="AI66" i="21"/>
  <c r="AH67" i="21"/>
  <c r="AI67" i="21"/>
  <c r="C8" i="15"/>
  <c r="AF18" i="15"/>
  <c r="AE18" i="15"/>
  <c r="AD18" i="15"/>
  <c r="AC18" i="15"/>
  <c r="AB18" i="15"/>
  <c r="AA18" i="15"/>
  <c r="Z18" i="15"/>
  <c r="Y18" i="15"/>
  <c r="X18" i="15"/>
  <c r="W18" i="15"/>
  <c r="V18" i="15"/>
  <c r="U18" i="15"/>
  <c r="T18" i="15"/>
  <c r="S18" i="15"/>
  <c r="R18" i="15"/>
  <c r="AF16" i="15"/>
  <c r="AE16" i="15"/>
  <c r="AD16" i="15"/>
  <c r="AC16" i="15"/>
  <c r="AB16" i="15"/>
  <c r="AA16" i="15"/>
  <c r="Z16" i="15"/>
  <c r="Y16" i="15"/>
  <c r="X16" i="15"/>
  <c r="W16" i="15"/>
  <c r="V16" i="15"/>
  <c r="U16" i="15"/>
  <c r="T16" i="15"/>
  <c r="S16" i="15"/>
  <c r="R16" i="15"/>
  <c r="AF13" i="15"/>
  <c r="AE13" i="15"/>
  <c r="AD13" i="15"/>
  <c r="AC13" i="15"/>
  <c r="AB13" i="15"/>
  <c r="AA13" i="15"/>
  <c r="Z13" i="15"/>
  <c r="Y13" i="15"/>
  <c r="X13" i="15"/>
  <c r="W13" i="15"/>
  <c r="V13" i="15"/>
  <c r="U13" i="15"/>
  <c r="T13" i="15"/>
  <c r="S13" i="15"/>
  <c r="R13" i="15"/>
  <c r="AF12" i="15"/>
  <c r="AE12" i="15"/>
  <c r="AD12" i="15"/>
  <c r="AC12" i="15"/>
  <c r="AB12" i="15"/>
  <c r="AB14" i="15" s="1"/>
  <c r="AA12" i="15"/>
  <c r="AA14" i="15" s="1"/>
  <c r="Z12" i="15"/>
  <c r="Z14" i="15" s="1"/>
  <c r="Y12" i="15"/>
  <c r="X12" i="15"/>
  <c r="W12" i="15"/>
  <c r="V12" i="15"/>
  <c r="U12" i="15"/>
  <c r="T12" i="15"/>
  <c r="T14" i="15" s="1"/>
  <c r="S12" i="15"/>
  <c r="S14" i="15" s="1"/>
  <c r="R12" i="15"/>
  <c r="R14" i="15" s="1"/>
  <c r="AF9" i="15"/>
  <c r="AE9" i="15"/>
  <c r="AD9" i="15"/>
  <c r="AC9" i="15"/>
  <c r="AB9" i="15"/>
  <c r="AA9" i="15"/>
  <c r="Z9" i="15"/>
  <c r="Y9" i="15"/>
  <c r="X9" i="15"/>
  <c r="W9" i="15"/>
  <c r="V9" i="15"/>
  <c r="U9" i="15"/>
  <c r="T9" i="15"/>
  <c r="S9" i="15"/>
  <c r="R9" i="15"/>
  <c r="AF8" i="15"/>
  <c r="AE8" i="15"/>
  <c r="AD8" i="15"/>
  <c r="AC8" i="15"/>
  <c r="AB8" i="15"/>
  <c r="AA8" i="15"/>
  <c r="Z8" i="15"/>
  <c r="Y8" i="15"/>
  <c r="X8" i="15"/>
  <c r="W8" i="15"/>
  <c r="V8" i="15"/>
  <c r="U8" i="15"/>
  <c r="T8" i="15"/>
  <c r="S8" i="15"/>
  <c r="S10" i="15" s="1"/>
  <c r="R8" i="15"/>
  <c r="DU9" i="23"/>
  <c r="DU10" i="23"/>
  <c r="DU11" i="23"/>
  <c r="DU12" i="23"/>
  <c r="DU13" i="23"/>
  <c r="DU14" i="23"/>
  <c r="DU15" i="23"/>
  <c r="DU16" i="23"/>
  <c r="DU17" i="23"/>
  <c r="DU18" i="23"/>
  <c r="DU19" i="23"/>
  <c r="DU20" i="23"/>
  <c r="DU21" i="23"/>
  <c r="DU22" i="23"/>
  <c r="DU23" i="23"/>
  <c r="DU24" i="23"/>
  <c r="DU25" i="23"/>
  <c r="DU26" i="23"/>
  <c r="DU27" i="23"/>
  <c r="DU28" i="23"/>
  <c r="DU29" i="23"/>
  <c r="DU30" i="23"/>
  <c r="DU31" i="23"/>
  <c r="DU32" i="23"/>
  <c r="DU8" i="23"/>
  <c r="DT8" i="23"/>
  <c r="DT9" i="23"/>
  <c r="DT10" i="23"/>
  <c r="DT11" i="23"/>
  <c r="DT12" i="23"/>
  <c r="DT13" i="23"/>
  <c r="DT14" i="23"/>
  <c r="DT15" i="23"/>
  <c r="DT16" i="23"/>
  <c r="DT17" i="23"/>
  <c r="DT18" i="23"/>
  <c r="DT19" i="23"/>
  <c r="DT20" i="23"/>
  <c r="DT21" i="23"/>
  <c r="DT22" i="23"/>
  <c r="DT23" i="23"/>
  <c r="DT24" i="23"/>
  <c r="DT25" i="23"/>
  <c r="DT26" i="23"/>
  <c r="DT27" i="23"/>
  <c r="DT28" i="23"/>
  <c r="DT29" i="23"/>
  <c r="DT30" i="23"/>
  <c r="DT31" i="23"/>
  <c r="DT32" i="23"/>
  <c r="DS32" i="23"/>
  <c r="DS31" i="23"/>
  <c r="DS30" i="23"/>
  <c r="DS29" i="23"/>
  <c r="DS28" i="23"/>
  <c r="DS27" i="23"/>
  <c r="DS26" i="23"/>
  <c r="DS25" i="23"/>
  <c r="DS24" i="23"/>
  <c r="DS23" i="23"/>
  <c r="DS22" i="23"/>
  <c r="DS21" i="23"/>
  <c r="DS20" i="23"/>
  <c r="DS19" i="23"/>
  <c r="DS18" i="23"/>
  <c r="DS17" i="23"/>
  <c r="DS16" i="23"/>
  <c r="DS15" i="23"/>
  <c r="DS14" i="23"/>
  <c r="DS13" i="23"/>
  <c r="DS12" i="23"/>
  <c r="DS11" i="23"/>
  <c r="DS10" i="23"/>
  <c r="DS9" i="23"/>
  <c r="DS8" i="23"/>
  <c r="DO32" i="23"/>
  <c r="DK32" i="23"/>
  <c r="DG32" i="23"/>
  <c r="DC32" i="23"/>
  <c r="CY32" i="23"/>
  <c r="CU32" i="23"/>
  <c r="CQ32" i="23"/>
  <c r="CM32" i="23"/>
  <c r="CI32" i="23"/>
  <c r="CE32" i="23"/>
  <c r="CA32" i="23"/>
  <c r="BW32" i="23"/>
  <c r="BS32" i="23"/>
  <c r="BO32" i="23"/>
  <c r="DO31" i="23"/>
  <c r="DK31" i="23"/>
  <c r="DG31" i="23"/>
  <c r="DC31" i="23"/>
  <c r="CY31" i="23"/>
  <c r="CU31" i="23"/>
  <c r="CQ31" i="23"/>
  <c r="CM31" i="23"/>
  <c r="CI31" i="23"/>
  <c r="CE31" i="23"/>
  <c r="CA31" i="23"/>
  <c r="BW31" i="23"/>
  <c r="BS31" i="23"/>
  <c r="BO31" i="23"/>
  <c r="DO30" i="23"/>
  <c r="DK30" i="23"/>
  <c r="DG30" i="23"/>
  <c r="DC30" i="23"/>
  <c r="CY30" i="23"/>
  <c r="CU30" i="23"/>
  <c r="CQ30" i="23"/>
  <c r="CM30" i="23"/>
  <c r="CI30" i="23"/>
  <c r="CE30" i="23"/>
  <c r="CA30" i="23"/>
  <c r="BW30" i="23"/>
  <c r="BS30" i="23"/>
  <c r="BO30" i="23"/>
  <c r="DO29" i="23"/>
  <c r="DK29" i="23"/>
  <c r="DG29" i="23"/>
  <c r="DC29" i="23"/>
  <c r="CY29" i="23"/>
  <c r="CU29" i="23"/>
  <c r="CQ29" i="23"/>
  <c r="CM29" i="23"/>
  <c r="CI29" i="23"/>
  <c r="CE29" i="23"/>
  <c r="CA29" i="23"/>
  <c r="BW29" i="23"/>
  <c r="BS29" i="23"/>
  <c r="BO29" i="23"/>
  <c r="DO28" i="23"/>
  <c r="DK28" i="23"/>
  <c r="DG28" i="23"/>
  <c r="DC28" i="23"/>
  <c r="CY28" i="23"/>
  <c r="CU28" i="23"/>
  <c r="CQ28" i="23"/>
  <c r="CM28" i="23"/>
  <c r="CI28" i="23"/>
  <c r="CE28" i="23"/>
  <c r="CA28" i="23"/>
  <c r="BW28" i="23"/>
  <c r="BS28" i="23"/>
  <c r="BO28" i="23"/>
  <c r="DO27" i="23"/>
  <c r="DK27" i="23"/>
  <c r="DG27" i="23"/>
  <c r="DC27" i="23"/>
  <c r="CY27" i="23"/>
  <c r="CU27" i="23"/>
  <c r="CQ27" i="23"/>
  <c r="CM27" i="23"/>
  <c r="CI27" i="23"/>
  <c r="CE27" i="23"/>
  <c r="CA27" i="23"/>
  <c r="BW27" i="23"/>
  <c r="BS27" i="23"/>
  <c r="BO27" i="23"/>
  <c r="DO26" i="23"/>
  <c r="DK26" i="23"/>
  <c r="DG26" i="23"/>
  <c r="DC26" i="23"/>
  <c r="CY26" i="23"/>
  <c r="CU26" i="23"/>
  <c r="CQ26" i="23"/>
  <c r="CM26" i="23"/>
  <c r="CI26" i="23"/>
  <c r="CE26" i="23"/>
  <c r="CA26" i="23"/>
  <c r="BW26" i="23"/>
  <c r="BS26" i="23"/>
  <c r="BO26" i="23"/>
  <c r="DO25" i="23"/>
  <c r="DK25" i="23"/>
  <c r="DG25" i="23"/>
  <c r="DC25" i="23"/>
  <c r="CY25" i="23"/>
  <c r="CU25" i="23"/>
  <c r="CQ25" i="23"/>
  <c r="CM25" i="23"/>
  <c r="CI25" i="23"/>
  <c r="CE25" i="23"/>
  <c r="CA25" i="23"/>
  <c r="BW25" i="23"/>
  <c r="BS25" i="23"/>
  <c r="BO25" i="23"/>
  <c r="DO24" i="23"/>
  <c r="DK24" i="23"/>
  <c r="DG24" i="23"/>
  <c r="DC24" i="23"/>
  <c r="CY24" i="23"/>
  <c r="CU24" i="23"/>
  <c r="CQ24" i="23"/>
  <c r="CM24" i="23"/>
  <c r="CI24" i="23"/>
  <c r="CE24" i="23"/>
  <c r="CA24" i="23"/>
  <c r="BW24" i="23"/>
  <c r="BS24" i="23"/>
  <c r="BO24" i="23"/>
  <c r="DO23" i="23"/>
  <c r="DK23" i="23"/>
  <c r="DG23" i="23"/>
  <c r="DC23" i="23"/>
  <c r="CY23" i="23"/>
  <c r="CU23" i="23"/>
  <c r="CQ23" i="23"/>
  <c r="CM23" i="23"/>
  <c r="CI23" i="23"/>
  <c r="CE23" i="23"/>
  <c r="CA23" i="23"/>
  <c r="BW23" i="23"/>
  <c r="BS23" i="23"/>
  <c r="BO23" i="23"/>
  <c r="DO22" i="23"/>
  <c r="DK22" i="23"/>
  <c r="DG22" i="23"/>
  <c r="DC22" i="23"/>
  <c r="CY22" i="23"/>
  <c r="CU22" i="23"/>
  <c r="CQ22" i="23"/>
  <c r="CM22" i="23"/>
  <c r="CI22" i="23"/>
  <c r="CE22" i="23"/>
  <c r="CA22" i="23"/>
  <c r="BW22" i="23"/>
  <c r="BS22" i="23"/>
  <c r="BO22" i="23"/>
  <c r="DO21" i="23"/>
  <c r="DK21" i="23"/>
  <c r="DG21" i="23"/>
  <c r="DC21" i="23"/>
  <c r="CY21" i="23"/>
  <c r="CU21" i="23"/>
  <c r="CQ21" i="23"/>
  <c r="CM21" i="23"/>
  <c r="CI21" i="23"/>
  <c r="CE21" i="23"/>
  <c r="CA21" i="23"/>
  <c r="BW21" i="23"/>
  <c r="BS21" i="23"/>
  <c r="BO21" i="23"/>
  <c r="DO20" i="23"/>
  <c r="DK20" i="23"/>
  <c r="DG20" i="23"/>
  <c r="DC20" i="23"/>
  <c r="CY20" i="23"/>
  <c r="CU20" i="23"/>
  <c r="CQ20" i="23"/>
  <c r="CM20" i="23"/>
  <c r="CI20" i="23"/>
  <c r="CE20" i="23"/>
  <c r="CA20" i="23"/>
  <c r="BW20" i="23"/>
  <c r="BS20" i="23"/>
  <c r="BO20" i="23"/>
  <c r="DO19" i="23"/>
  <c r="DK19" i="23"/>
  <c r="DG19" i="23"/>
  <c r="DC19" i="23"/>
  <c r="CY19" i="23"/>
  <c r="CU19" i="23"/>
  <c r="CQ19" i="23"/>
  <c r="CM19" i="23"/>
  <c r="CI19" i="23"/>
  <c r="CE19" i="23"/>
  <c r="CA19" i="23"/>
  <c r="BW19" i="23"/>
  <c r="BS19" i="23"/>
  <c r="BO19" i="23"/>
  <c r="DO18" i="23"/>
  <c r="DK18" i="23"/>
  <c r="DG18" i="23"/>
  <c r="DC18" i="23"/>
  <c r="CY18" i="23"/>
  <c r="CU18" i="23"/>
  <c r="CQ18" i="23"/>
  <c r="CM18" i="23"/>
  <c r="CI18" i="23"/>
  <c r="CE18" i="23"/>
  <c r="CA18" i="23"/>
  <c r="BW18" i="23"/>
  <c r="BS18" i="23"/>
  <c r="BO18" i="23"/>
  <c r="DO17" i="23"/>
  <c r="DK17" i="23"/>
  <c r="DG17" i="23"/>
  <c r="DC17" i="23"/>
  <c r="CY17" i="23"/>
  <c r="CU17" i="23"/>
  <c r="CQ17" i="23"/>
  <c r="CM17" i="23"/>
  <c r="CI17" i="23"/>
  <c r="CE17" i="23"/>
  <c r="CA17" i="23"/>
  <c r="BW17" i="23"/>
  <c r="BS17" i="23"/>
  <c r="BO17" i="23"/>
  <c r="DO16" i="23"/>
  <c r="DK16" i="23"/>
  <c r="DG16" i="23"/>
  <c r="DC16" i="23"/>
  <c r="CY16" i="23"/>
  <c r="CU16" i="23"/>
  <c r="CQ16" i="23"/>
  <c r="CM16" i="23"/>
  <c r="CI16" i="23"/>
  <c r="CE16" i="23"/>
  <c r="CA16" i="23"/>
  <c r="BW16" i="23"/>
  <c r="BS16" i="23"/>
  <c r="BO16" i="23"/>
  <c r="DO15" i="23"/>
  <c r="DK15" i="23"/>
  <c r="DG15" i="23"/>
  <c r="DC15" i="23"/>
  <c r="CY15" i="23"/>
  <c r="CU15" i="23"/>
  <c r="CQ15" i="23"/>
  <c r="CM15" i="23"/>
  <c r="CI15" i="23"/>
  <c r="CE15" i="23"/>
  <c r="CA15" i="23"/>
  <c r="BW15" i="23"/>
  <c r="BS15" i="23"/>
  <c r="BO15" i="23"/>
  <c r="DO14" i="23"/>
  <c r="DK14" i="23"/>
  <c r="DG14" i="23"/>
  <c r="DC14" i="23"/>
  <c r="CY14" i="23"/>
  <c r="CU14" i="23"/>
  <c r="CQ14" i="23"/>
  <c r="CM14" i="23"/>
  <c r="CI14" i="23"/>
  <c r="CE14" i="23"/>
  <c r="CA14" i="23"/>
  <c r="BW14" i="23"/>
  <c r="BS14" i="23"/>
  <c r="BO14" i="23"/>
  <c r="DO13" i="23"/>
  <c r="DK13" i="23"/>
  <c r="DG13" i="23"/>
  <c r="DC13" i="23"/>
  <c r="CY13" i="23"/>
  <c r="CU13" i="23"/>
  <c r="CQ13" i="23"/>
  <c r="CM13" i="23"/>
  <c r="CI13" i="23"/>
  <c r="CE13" i="23"/>
  <c r="CA13" i="23"/>
  <c r="BW13" i="23"/>
  <c r="BS13" i="23"/>
  <c r="BO13" i="23"/>
  <c r="DO12" i="23"/>
  <c r="DK12" i="23"/>
  <c r="DG12" i="23"/>
  <c r="DC12" i="23"/>
  <c r="CY12" i="23"/>
  <c r="CU12" i="23"/>
  <c r="CQ12" i="23"/>
  <c r="CM12" i="23"/>
  <c r="CI12" i="23"/>
  <c r="CE12" i="23"/>
  <c r="CA12" i="23"/>
  <c r="BW12" i="23"/>
  <c r="BS12" i="23"/>
  <c r="BO12" i="23"/>
  <c r="DO11" i="23"/>
  <c r="DK11" i="23"/>
  <c r="DG11" i="23"/>
  <c r="DC11" i="23"/>
  <c r="CY11" i="23"/>
  <c r="CU11" i="23"/>
  <c r="CQ11" i="23"/>
  <c r="CM11" i="23"/>
  <c r="CI11" i="23"/>
  <c r="CE11" i="23"/>
  <c r="CA11" i="23"/>
  <c r="BW11" i="23"/>
  <c r="BS11" i="23"/>
  <c r="BO11" i="23"/>
  <c r="DO10" i="23"/>
  <c r="DK10" i="23"/>
  <c r="DG10" i="23"/>
  <c r="DC10" i="23"/>
  <c r="CY10" i="23"/>
  <c r="CU10" i="23"/>
  <c r="CQ10" i="23"/>
  <c r="CM10" i="23"/>
  <c r="CI10" i="23"/>
  <c r="CE10" i="23"/>
  <c r="CA10" i="23"/>
  <c r="BW10" i="23"/>
  <c r="BS10" i="23"/>
  <c r="BO10" i="23"/>
  <c r="DO9" i="23"/>
  <c r="DK9" i="23"/>
  <c r="DG9" i="23"/>
  <c r="DC9" i="23"/>
  <c r="CY9" i="23"/>
  <c r="CU9" i="23"/>
  <c r="CQ9" i="23"/>
  <c r="CM9" i="23"/>
  <c r="CI9" i="23"/>
  <c r="CE9" i="23"/>
  <c r="CA9" i="23"/>
  <c r="BW9" i="23"/>
  <c r="BS9" i="23"/>
  <c r="BO9" i="23"/>
  <c r="DO8" i="23"/>
  <c r="DK8" i="23"/>
  <c r="DG8" i="23"/>
  <c r="DC8" i="23"/>
  <c r="CY8" i="23"/>
  <c r="CU8" i="23"/>
  <c r="CQ8" i="23"/>
  <c r="CM8" i="23"/>
  <c r="CI8" i="23"/>
  <c r="CE8" i="23"/>
  <c r="CA8" i="23"/>
  <c r="BW8" i="23"/>
  <c r="BS8" i="23"/>
  <c r="BO8" i="23"/>
  <c r="CQ9" i="24"/>
  <c r="CQ10" i="24"/>
  <c r="CQ11" i="24"/>
  <c r="CQ12" i="24"/>
  <c r="CQ13" i="24"/>
  <c r="CQ14" i="24"/>
  <c r="CQ15" i="24"/>
  <c r="CQ16" i="24"/>
  <c r="CQ8" i="24"/>
  <c r="CP9" i="24"/>
  <c r="CP10" i="24"/>
  <c r="CP11" i="24"/>
  <c r="CP12" i="24"/>
  <c r="CP13" i="24"/>
  <c r="CP14" i="24"/>
  <c r="CP15" i="24"/>
  <c r="CP16" i="24"/>
  <c r="CP8" i="24"/>
  <c r="AG40" i="21" l="1"/>
  <c r="AG44" i="21"/>
  <c r="AG48" i="21"/>
  <c r="AG52" i="21"/>
  <c r="AG56" i="21"/>
  <c r="AG60" i="21"/>
  <c r="AG64" i="21"/>
  <c r="AJ66" i="21"/>
  <c r="AJ62" i="21"/>
  <c r="AJ58" i="21"/>
  <c r="AJ54" i="21"/>
  <c r="AJ50" i="21"/>
  <c r="AJ46" i="21"/>
  <c r="AJ67" i="21"/>
  <c r="AJ63" i="21"/>
  <c r="AJ59" i="21"/>
  <c r="AJ55" i="21"/>
  <c r="AJ51" i="21"/>
  <c r="AJ47" i="21"/>
  <c r="AJ43" i="21"/>
  <c r="AJ39" i="21"/>
  <c r="AJ42" i="21"/>
  <c r="AJ38" i="21"/>
  <c r="AG38" i="21"/>
  <c r="AG42" i="21"/>
  <c r="AG46" i="21"/>
  <c r="AG50" i="21"/>
  <c r="AG54" i="21"/>
  <c r="AG58" i="21"/>
  <c r="AG62" i="21"/>
  <c r="AG66" i="21"/>
  <c r="AJ64" i="21"/>
  <c r="AJ60" i="21"/>
  <c r="AJ56" i="21"/>
  <c r="AJ52" i="21"/>
  <c r="AJ48" i="21"/>
  <c r="AG39" i="21"/>
  <c r="AG43" i="21"/>
  <c r="AG47" i="21"/>
  <c r="AG51" i="21"/>
  <c r="AG55" i="21"/>
  <c r="AG59" i="21"/>
  <c r="AG63" i="21"/>
  <c r="AG67" i="21"/>
  <c r="T10" i="15"/>
  <c r="AC10" i="15"/>
  <c r="AB10" i="15"/>
  <c r="AD14" i="15"/>
  <c r="AD10" i="15"/>
  <c r="AA10" i="15"/>
  <c r="V10" i="15"/>
  <c r="V14" i="15"/>
  <c r="U10" i="15"/>
  <c r="W10" i="15"/>
  <c r="AF10" i="15"/>
  <c r="AE14" i="15"/>
  <c r="R10" i="15"/>
  <c r="X14" i="15"/>
  <c r="Y14" i="15"/>
  <c r="X10" i="15"/>
  <c r="W14" i="15"/>
  <c r="Y10" i="15"/>
  <c r="Z10" i="15"/>
  <c r="AF14" i="15"/>
  <c r="AE10" i="15"/>
  <c r="U14" i="15"/>
  <c r="AC14" i="15"/>
  <c r="BK8" i="23"/>
  <c r="BK9" i="23"/>
  <c r="BK10" i="23"/>
  <c r="BK11" i="23"/>
  <c r="BK12" i="23"/>
  <c r="BK13" i="23"/>
  <c r="BK14" i="23"/>
  <c r="BK15" i="23"/>
  <c r="BK16" i="23"/>
  <c r="BK17" i="23"/>
  <c r="BK18" i="23"/>
  <c r="BK19" i="23"/>
  <c r="BK20" i="23"/>
  <c r="BK21" i="23"/>
  <c r="BK22" i="23"/>
  <c r="BK23" i="23"/>
  <c r="BK24" i="23"/>
  <c r="BK25" i="23"/>
  <c r="BK26" i="23"/>
  <c r="BK27" i="23"/>
  <c r="BK28" i="23"/>
  <c r="BK29" i="23"/>
  <c r="BK30" i="23"/>
  <c r="BK31" i="23"/>
  <c r="BK32" i="23"/>
  <c r="BC8" i="23"/>
  <c r="BG8" i="23"/>
  <c r="BC9" i="23"/>
  <c r="BG9" i="23"/>
  <c r="BC10" i="23"/>
  <c r="BG10" i="23"/>
  <c r="BC11" i="23"/>
  <c r="BG11" i="23"/>
  <c r="BC12" i="23"/>
  <c r="BG12" i="23"/>
  <c r="BC13" i="23"/>
  <c r="BG13" i="23"/>
  <c r="BC14" i="23"/>
  <c r="BG14" i="23"/>
  <c r="BC15" i="23"/>
  <c r="BG15" i="23"/>
  <c r="BC16" i="23"/>
  <c r="BG16" i="23"/>
  <c r="BC17" i="23"/>
  <c r="BG17" i="23"/>
  <c r="BC18" i="23"/>
  <c r="BG18" i="23"/>
  <c r="BC19" i="23"/>
  <c r="BG19" i="23"/>
  <c r="BC20" i="23"/>
  <c r="BG20" i="23"/>
  <c r="BC21" i="23"/>
  <c r="BG21" i="23"/>
  <c r="BC22" i="23"/>
  <c r="BG22" i="23"/>
  <c r="BC23" i="23"/>
  <c r="BG23" i="23"/>
  <c r="BC24" i="23"/>
  <c r="BG24" i="23"/>
  <c r="BC25" i="23"/>
  <c r="BG25" i="23"/>
  <c r="BC26" i="23"/>
  <c r="BG26" i="23"/>
  <c r="BC27" i="23"/>
  <c r="BG27" i="23"/>
  <c r="BC28" i="23"/>
  <c r="BG28" i="23"/>
  <c r="BC29" i="23"/>
  <c r="BG29" i="23"/>
  <c r="BC30" i="23"/>
  <c r="BG30" i="23"/>
  <c r="BC31" i="23"/>
  <c r="BG31" i="23"/>
  <c r="BC32" i="23"/>
  <c r="BG32" i="23"/>
  <c r="AU8" i="23"/>
  <c r="AY8" i="23"/>
  <c r="AU9" i="23"/>
  <c r="AY9" i="23"/>
  <c r="AU10" i="23"/>
  <c r="AY10" i="23"/>
  <c r="AU11" i="23"/>
  <c r="AY11" i="23"/>
  <c r="AU12" i="23"/>
  <c r="AY12" i="23"/>
  <c r="AU13" i="23"/>
  <c r="AY13" i="23"/>
  <c r="AU14" i="23"/>
  <c r="AY14" i="23"/>
  <c r="AU15" i="23"/>
  <c r="AY15" i="23"/>
  <c r="AU16" i="23"/>
  <c r="AY16" i="23"/>
  <c r="AU17" i="23"/>
  <c r="AY17" i="23"/>
  <c r="AU18" i="23"/>
  <c r="AY18" i="23"/>
  <c r="AU19" i="23"/>
  <c r="AY19" i="23"/>
  <c r="AU20" i="23"/>
  <c r="AY20" i="23"/>
  <c r="AU21" i="23"/>
  <c r="AY21" i="23"/>
  <c r="AU22" i="23"/>
  <c r="AY22" i="23"/>
  <c r="AU23" i="23"/>
  <c r="AY23" i="23"/>
  <c r="AU24" i="23"/>
  <c r="AY24" i="23"/>
  <c r="AU25" i="23"/>
  <c r="AY25" i="23"/>
  <c r="AU26" i="23"/>
  <c r="AY26" i="23"/>
  <c r="AU27" i="23"/>
  <c r="AY27" i="23"/>
  <c r="AU28" i="23"/>
  <c r="AY28" i="23"/>
  <c r="AU29" i="23"/>
  <c r="AY29" i="23"/>
  <c r="AU30" i="23"/>
  <c r="AY30" i="23"/>
  <c r="AU31" i="23"/>
  <c r="AY31" i="23"/>
  <c r="AU32" i="23"/>
  <c r="AY32"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I8" i="23"/>
  <c r="AI9" i="23"/>
  <c r="AI10" i="23"/>
  <c r="AI11" i="23"/>
  <c r="AI12" i="23"/>
  <c r="AI13" i="23"/>
  <c r="AI14" i="23"/>
  <c r="AI15" i="23"/>
  <c r="AI16" i="23"/>
  <c r="AI17" i="23"/>
  <c r="AI18" i="23"/>
  <c r="AI19" i="23"/>
  <c r="AI20" i="23"/>
  <c r="AI21" i="23"/>
  <c r="AI22" i="23"/>
  <c r="AI23" i="23"/>
  <c r="AI24" i="23"/>
  <c r="AI25" i="23"/>
  <c r="AI26" i="23"/>
  <c r="AI27" i="23"/>
  <c r="AI28" i="23"/>
  <c r="AI29" i="23"/>
  <c r="AI30" i="23"/>
  <c r="AI31" i="23"/>
  <c r="AI32"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2"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G9" i="23"/>
  <c r="G10" i="23"/>
  <c r="G11" i="23"/>
  <c r="G12" i="23"/>
  <c r="G13" i="23"/>
  <c r="G14" i="23"/>
  <c r="G15" i="23"/>
  <c r="G16" i="23"/>
  <c r="G17" i="23"/>
  <c r="G18" i="23"/>
  <c r="G19" i="23"/>
  <c r="G20" i="23"/>
  <c r="G21" i="23"/>
  <c r="G22" i="23"/>
  <c r="G23" i="23"/>
  <c r="G24" i="23"/>
  <c r="G25" i="23"/>
  <c r="G26" i="23"/>
  <c r="G27" i="23"/>
  <c r="G28" i="23"/>
  <c r="G29" i="23"/>
  <c r="G30" i="23"/>
  <c r="G31" i="23"/>
  <c r="G32" i="23"/>
  <c r="G8" i="23"/>
  <c r="AR67" i="21"/>
  <c r="AQ67" i="21"/>
  <c r="AO67" i="21"/>
  <c r="AN67" i="21"/>
  <c r="AL67" i="21"/>
  <c r="AK67" i="21"/>
  <c r="AC67" i="21"/>
  <c r="AB67" i="21"/>
  <c r="AD67" i="21" s="1"/>
  <c r="Z67" i="21"/>
  <c r="Y67" i="21"/>
  <c r="AA67" i="21" s="1"/>
  <c r="W67" i="21"/>
  <c r="V67" i="21"/>
  <c r="X67" i="21" s="1"/>
  <c r="T67" i="21"/>
  <c r="S67" i="21"/>
  <c r="Q67" i="21"/>
  <c r="P67" i="21"/>
  <c r="R67" i="21" s="1"/>
  <c r="O67" i="21"/>
  <c r="N67" i="21"/>
  <c r="M67" i="21"/>
  <c r="L67" i="21"/>
  <c r="K67" i="21"/>
  <c r="J67" i="21"/>
  <c r="I67" i="21"/>
  <c r="H67" i="21"/>
  <c r="G67" i="21"/>
  <c r="F67" i="21"/>
  <c r="E67" i="21"/>
  <c r="D67" i="21"/>
  <c r="C67" i="21"/>
  <c r="B67" i="21"/>
  <c r="A67" i="21"/>
  <c r="AR66" i="21"/>
  <c r="AQ66" i="21"/>
  <c r="AO66" i="21"/>
  <c r="AN66" i="21"/>
  <c r="AL66" i="21"/>
  <c r="AK66" i="21"/>
  <c r="AM66" i="21" s="1"/>
  <c r="AC66" i="21"/>
  <c r="AB66" i="21"/>
  <c r="Z66" i="21"/>
  <c r="Y66" i="21"/>
  <c r="W66" i="21"/>
  <c r="V66" i="21"/>
  <c r="T66" i="21"/>
  <c r="S66" i="21"/>
  <c r="U66" i="21" s="1"/>
  <c r="Q66" i="21"/>
  <c r="P66" i="21"/>
  <c r="O66" i="21"/>
  <c r="N66" i="21"/>
  <c r="M66" i="21"/>
  <c r="L66" i="21"/>
  <c r="K66" i="21"/>
  <c r="J66" i="21"/>
  <c r="I66" i="21"/>
  <c r="H66" i="21"/>
  <c r="G66" i="21"/>
  <c r="F66" i="21"/>
  <c r="E66" i="21"/>
  <c r="D66" i="21"/>
  <c r="C66" i="21"/>
  <c r="B66" i="21"/>
  <c r="A66" i="21"/>
  <c r="AR65" i="21"/>
  <c r="AQ65" i="21"/>
  <c r="AO65" i="21"/>
  <c r="AN65" i="21"/>
  <c r="AP65" i="21" s="1"/>
  <c r="AL65" i="21"/>
  <c r="AK65" i="21"/>
  <c r="AM65" i="21" s="1"/>
  <c r="AC65" i="21"/>
  <c r="AB65" i="21"/>
  <c r="Z65" i="21"/>
  <c r="Y65" i="21"/>
  <c r="AA65" i="21" s="1"/>
  <c r="W65" i="21"/>
  <c r="V65" i="21"/>
  <c r="X65" i="21" s="1"/>
  <c r="T65" i="21"/>
  <c r="S65" i="21"/>
  <c r="U65" i="21" s="1"/>
  <c r="Q65" i="21"/>
  <c r="P65" i="21"/>
  <c r="O65" i="21"/>
  <c r="N65" i="21"/>
  <c r="M65" i="21"/>
  <c r="L65" i="21"/>
  <c r="K65" i="21"/>
  <c r="J65" i="21"/>
  <c r="I65" i="21"/>
  <c r="H65" i="21"/>
  <c r="G65" i="21"/>
  <c r="F65" i="21"/>
  <c r="E65" i="21"/>
  <c r="D65" i="21"/>
  <c r="C65" i="21"/>
  <c r="B65" i="21"/>
  <c r="A65" i="21"/>
  <c r="AR64" i="21"/>
  <c r="AQ64" i="21"/>
  <c r="AO64" i="21"/>
  <c r="AN64" i="21"/>
  <c r="AL64" i="21"/>
  <c r="AK64" i="21"/>
  <c r="AC64" i="21"/>
  <c r="AB64" i="21"/>
  <c r="Z64" i="21"/>
  <c r="Y64" i="21"/>
  <c r="W64" i="21"/>
  <c r="V64" i="21"/>
  <c r="T64" i="21"/>
  <c r="S64" i="21"/>
  <c r="Q64" i="21"/>
  <c r="P64" i="21"/>
  <c r="O64" i="21"/>
  <c r="N64" i="21"/>
  <c r="M64" i="21"/>
  <c r="L64" i="21"/>
  <c r="K64" i="21"/>
  <c r="J64" i="21"/>
  <c r="I64" i="21"/>
  <c r="H64" i="21"/>
  <c r="G64" i="21"/>
  <c r="F64" i="21"/>
  <c r="E64" i="21"/>
  <c r="D64" i="21"/>
  <c r="C64" i="21"/>
  <c r="B64" i="21"/>
  <c r="A64" i="21"/>
  <c r="AR63" i="21"/>
  <c r="AQ63" i="21"/>
  <c r="AO63" i="21"/>
  <c r="AN63" i="21"/>
  <c r="AP63" i="21" s="1"/>
  <c r="AL63" i="21"/>
  <c r="AK63" i="21"/>
  <c r="AM63" i="21" s="1"/>
  <c r="AC63" i="21"/>
  <c r="AB63" i="21"/>
  <c r="AD63" i="21" s="1"/>
  <c r="Z63" i="21"/>
  <c r="Y63" i="21"/>
  <c r="W63" i="21"/>
  <c r="V63" i="21"/>
  <c r="X63" i="21" s="1"/>
  <c r="T63" i="21"/>
  <c r="S63" i="21"/>
  <c r="U63" i="21" s="1"/>
  <c r="Q63" i="21"/>
  <c r="P63" i="21"/>
  <c r="R63" i="21" s="1"/>
  <c r="O63" i="21"/>
  <c r="N63" i="21"/>
  <c r="M63" i="21"/>
  <c r="L63" i="21"/>
  <c r="K63" i="21"/>
  <c r="J63" i="21"/>
  <c r="I63" i="21"/>
  <c r="H63" i="21"/>
  <c r="G63" i="21"/>
  <c r="F63" i="21"/>
  <c r="E63" i="21"/>
  <c r="D63" i="21"/>
  <c r="C63" i="21"/>
  <c r="B63" i="21"/>
  <c r="A63" i="21"/>
  <c r="AR62" i="21"/>
  <c r="AQ62" i="21"/>
  <c r="AO62" i="21"/>
  <c r="AN62" i="21"/>
  <c r="AL62" i="21"/>
  <c r="AK62" i="21"/>
  <c r="AC62" i="21"/>
  <c r="AB62" i="21"/>
  <c r="Z62" i="21"/>
  <c r="Y62" i="21"/>
  <c r="W62" i="21"/>
  <c r="V62" i="21"/>
  <c r="T62" i="21"/>
  <c r="S62" i="21"/>
  <c r="Q62" i="21"/>
  <c r="P62" i="21"/>
  <c r="O62" i="21"/>
  <c r="N62" i="21"/>
  <c r="M62" i="21"/>
  <c r="L62" i="21"/>
  <c r="K62" i="21"/>
  <c r="J62" i="21"/>
  <c r="I62" i="21"/>
  <c r="H62" i="21"/>
  <c r="G62" i="21"/>
  <c r="F62" i="21"/>
  <c r="E62" i="21"/>
  <c r="D62" i="21"/>
  <c r="C62" i="21"/>
  <c r="B62" i="21"/>
  <c r="A62" i="21"/>
  <c r="AR61" i="21"/>
  <c r="AQ61" i="21"/>
  <c r="AO61" i="21"/>
  <c r="AN61" i="21"/>
  <c r="AL61" i="21"/>
  <c r="AK61" i="21"/>
  <c r="AM61" i="21" s="1"/>
  <c r="AC61" i="21"/>
  <c r="AB61" i="21"/>
  <c r="AD61" i="21" s="1"/>
  <c r="Z61" i="21"/>
  <c r="Y61" i="21"/>
  <c r="AA61" i="21" s="1"/>
  <c r="W61" i="21"/>
  <c r="V61" i="21"/>
  <c r="T61" i="21"/>
  <c r="S61" i="21"/>
  <c r="U61" i="21" s="1"/>
  <c r="Q61" i="21"/>
  <c r="P61" i="21"/>
  <c r="R61" i="21" s="1"/>
  <c r="O61" i="21"/>
  <c r="N61" i="21"/>
  <c r="M61" i="21"/>
  <c r="L61" i="21"/>
  <c r="K61" i="21"/>
  <c r="J61" i="21"/>
  <c r="I61" i="21"/>
  <c r="H61" i="21"/>
  <c r="G61" i="21"/>
  <c r="F61" i="21"/>
  <c r="E61" i="21"/>
  <c r="D61" i="21"/>
  <c r="C61" i="21"/>
  <c r="B61" i="21"/>
  <c r="A61" i="21"/>
  <c r="AR60" i="21"/>
  <c r="AQ60" i="21"/>
  <c r="AO60" i="21"/>
  <c r="AN60" i="21"/>
  <c r="AL60" i="21"/>
  <c r="AK60" i="21"/>
  <c r="AC60" i="21"/>
  <c r="AB60" i="21"/>
  <c r="Z60" i="21"/>
  <c r="Y60" i="21"/>
  <c r="W60" i="21"/>
  <c r="V60" i="21"/>
  <c r="T60" i="21"/>
  <c r="S60" i="21"/>
  <c r="Q60" i="21"/>
  <c r="P60" i="21"/>
  <c r="O60" i="21"/>
  <c r="N60" i="21"/>
  <c r="M60" i="21"/>
  <c r="L60" i="21"/>
  <c r="K60" i="21"/>
  <c r="J60" i="21"/>
  <c r="I60" i="21"/>
  <c r="H60" i="21"/>
  <c r="G60" i="21"/>
  <c r="F60" i="21"/>
  <c r="E60" i="21"/>
  <c r="D60" i="21"/>
  <c r="C60" i="21"/>
  <c r="B60" i="21"/>
  <c r="A60" i="21"/>
  <c r="AR59" i="21"/>
  <c r="AQ59" i="21"/>
  <c r="AO59" i="21"/>
  <c r="AN59" i="21"/>
  <c r="AL59" i="21"/>
  <c r="AK59" i="21"/>
  <c r="AC59" i="21"/>
  <c r="AB59" i="21"/>
  <c r="AD59" i="21" s="1"/>
  <c r="Z59" i="21"/>
  <c r="Y59" i="21"/>
  <c r="AA59" i="21" s="1"/>
  <c r="W59" i="21"/>
  <c r="V59" i="21"/>
  <c r="T59" i="21"/>
  <c r="S59" i="21"/>
  <c r="Q59" i="21"/>
  <c r="P59" i="21"/>
  <c r="R59" i="21" s="1"/>
  <c r="O59" i="21"/>
  <c r="N59" i="21"/>
  <c r="M59" i="21"/>
  <c r="L59" i="21"/>
  <c r="K59" i="21"/>
  <c r="J59" i="21"/>
  <c r="I59" i="21"/>
  <c r="H59" i="21"/>
  <c r="G59" i="21"/>
  <c r="F59" i="21"/>
  <c r="E59" i="21"/>
  <c r="D59" i="21"/>
  <c r="C59" i="21"/>
  <c r="B59" i="21"/>
  <c r="A59" i="21"/>
  <c r="AR58" i="21"/>
  <c r="AQ58" i="21"/>
  <c r="AO58" i="21"/>
  <c r="AN58" i="21"/>
  <c r="AL58" i="21"/>
  <c r="AK58" i="21"/>
  <c r="AC58" i="21"/>
  <c r="AB58" i="21"/>
  <c r="Z58" i="21"/>
  <c r="Y58" i="21"/>
  <c r="W58" i="21"/>
  <c r="V58" i="21"/>
  <c r="T58" i="21"/>
  <c r="S58" i="21"/>
  <c r="Q58" i="21"/>
  <c r="P58" i="21"/>
  <c r="O58" i="21"/>
  <c r="N58" i="21"/>
  <c r="M58" i="21"/>
  <c r="L58" i="21"/>
  <c r="K58" i="21"/>
  <c r="J58" i="21"/>
  <c r="I58" i="21"/>
  <c r="H58" i="21"/>
  <c r="G58" i="21"/>
  <c r="F58" i="21"/>
  <c r="E58" i="21"/>
  <c r="D58" i="21"/>
  <c r="C58" i="21"/>
  <c r="B58" i="21"/>
  <c r="A58" i="21"/>
  <c r="AR57" i="21"/>
  <c r="AQ57" i="21"/>
  <c r="AO57" i="21"/>
  <c r="AN57" i="21"/>
  <c r="AP57" i="21" s="1"/>
  <c r="AL57" i="21"/>
  <c r="AK57" i="21"/>
  <c r="AC57" i="21"/>
  <c r="AB57" i="21"/>
  <c r="Z57" i="21"/>
  <c r="Y57" i="21"/>
  <c r="AA57" i="21" s="1"/>
  <c r="W57" i="21"/>
  <c r="V57" i="21"/>
  <c r="X57" i="21" s="1"/>
  <c r="T57" i="21"/>
  <c r="S57" i="21"/>
  <c r="Q57" i="21"/>
  <c r="P57" i="21"/>
  <c r="O57" i="21"/>
  <c r="N57" i="21"/>
  <c r="M57" i="21"/>
  <c r="L57" i="21"/>
  <c r="K57" i="21"/>
  <c r="J57" i="21"/>
  <c r="I57" i="21"/>
  <c r="H57" i="21"/>
  <c r="G57" i="21"/>
  <c r="F57" i="21"/>
  <c r="E57" i="21"/>
  <c r="D57" i="21"/>
  <c r="C57" i="21"/>
  <c r="B57" i="21"/>
  <c r="A57" i="21"/>
  <c r="AR56" i="21"/>
  <c r="AQ56" i="21"/>
  <c r="AO56" i="21"/>
  <c r="AN56" i="21"/>
  <c r="AL56" i="21"/>
  <c r="AK56" i="21"/>
  <c r="AC56" i="21"/>
  <c r="AB56" i="21"/>
  <c r="Z56" i="21"/>
  <c r="Y56" i="21"/>
  <c r="W56" i="21"/>
  <c r="V56" i="21"/>
  <c r="T56" i="21"/>
  <c r="S56" i="21"/>
  <c r="Q56" i="21"/>
  <c r="P56" i="21"/>
  <c r="O56" i="21"/>
  <c r="N56" i="21"/>
  <c r="M56" i="21"/>
  <c r="L56" i="21"/>
  <c r="K56" i="21"/>
  <c r="J56" i="21"/>
  <c r="I56" i="21"/>
  <c r="H56" i="21"/>
  <c r="G56" i="21"/>
  <c r="F56" i="21"/>
  <c r="E56" i="21"/>
  <c r="D56" i="21"/>
  <c r="C56" i="21"/>
  <c r="B56" i="21"/>
  <c r="A56" i="21"/>
  <c r="AR55" i="21"/>
  <c r="AQ55" i="21"/>
  <c r="AO55" i="21"/>
  <c r="AN55" i="21"/>
  <c r="AP55" i="21" s="1"/>
  <c r="AL55" i="21"/>
  <c r="AK55" i="21"/>
  <c r="AM55" i="21" s="1"/>
  <c r="AC55" i="21"/>
  <c r="AB55" i="21"/>
  <c r="Z55" i="21"/>
  <c r="Y55" i="21"/>
  <c r="W55" i="21"/>
  <c r="V55" i="21"/>
  <c r="X55" i="21" s="1"/>
  <c r="T55" i="21"/>
  <c r="S55" i="21"/>
  <c r="U55" i="21" s="1"/>
  <c r="Q55" i="21"/>
  <c r="P55" i="21"/>
  <c r="O55" i="21"/>
  <c r="N55" i="21"/>
  <c r="M55" i="21"/>
  <c r="L55" i="21"/>
  <c r="K55" i="21"/>
  <c r="J55" i="21"/>
  <c r="I55" i="21"/>
  <c r="H55" i="21"/>
  <c r="G55" i="21"/>
  <c r="F55" i="21"/>
  <c r="E55" i="21"/>
  <c r="D55" i="21"/>
  <c r="C55" i="21"/>
  <c r="B55" i="21"/>
  <c r="A55" i="21"/>
  <c r="AR54" i="21"/>
  <c r="AQ54" i="21"/>
  <c r="AO54" i="21"/>
  <c r="AN54" i="21"/>
  <c r="AL54" i="21"/>
  <c r="AK54" i="21"/>
  <c r="AC54" i="21"/>
  <c r="AB54" i="21"/>
  <c r="Z54" i="21"/>
  <c r="Y54" i="21"/>
  <c r="W54" i="21"/>
  <c r="V54" i="21"/>
  <c r="T54" i="21"/>
  <c r="S54" i="21"/>
  <c r="Q54" i="21"/>
  <c r="P54" i="21"/>
  <c r="O54" i="21"/>
  <c r="N54" i="21"/>
  <c r="M54" i="21"/>
  <c r="L54" i="21"/>
  <c r="K54" i="21"/>
  <c r="J54" i="21"/>
  <c r="I54" i="21"/>
  <c r="H54" i="21"/>
  <c r="G54" i="21"/>
  <c r="F54" i="21"/>
  <c r="E54" i="21"/>
  <c r="D54" i="21"/>
  <c r="C54" i="21"/>
  <c r="B54" i="21"/>
  <c r="A54" i="21"/>
  <c r="AR53" i="21"/>
  <c r="AQ53" i="21"/>
  <c r="AO53" i="21"/>
  <c r="AN53" i="21"/>
  <c r="AL53" i="21"/>
  <c r="AK53" i="21"/>
  <c r="AM53" i="21" s="1"/>
  <c r="AC53" i="21"/>
  <c r="AB53" i="21"/>
  <c r="AD53" i="21" s="1"/>
  <c r="Z53" i="21"/>
  <c r="Y53" i="21"/>
  <c r="W53" i="21"/>
  <c r="V53" i="21"/>
  <c r="T53" i="21"/>
  <c r="S53" i="21"/>
  <c r="U53" i="21" s="1"/>
  <c r="Q53" i="21"/>
  <c r="P53" i="21"/>
  <c r="R53" i="21" s="1"/>
  <c r="O53" i="21"/>
  <c r="N53" i="21"/>
  <c r="M53" i="21"/>
  <c r="L53" i="21"/>
  <c r="K53" i="21"/>
  <c r="J53" i="21"/>
  <c r="I53" i="21"/>
  <c r="H53" i="21"/>
  <c r="G53" i="21"/>
  <c r="F53" i="21"/>
  <c r="E53" i="21"/>
  <c r="D53" i="21"/>
  <c r="C53" i="21"/>
  <c r="B53" i="21"/>
  <c r="A53" i="21"/>
  <c r="AR52" i="21"/>
  <c r="AQ52" i="21"/>
  <c r="AO52" i="21"/>
  <c r="AN52" i="21"/>
  <c r="AL52" i="21"/>
  <c r="AK52" i="21"/>
  <c r="AC52" i="21"/>
  <c r="AB52" i="21"/>
  <c r="Z52" i="21"/>
  <c r="Y52" i="21"/>
  <c r="W52" i="21"/>
  <c r="V52" i="21"/>
  <c r="T52" i="21"/>
  <c r="S52" i="21"/>
  <c r="Q52" i="21"/>
  <c r="P52" i="21"/>
  <c r="O52" i="21"/>
  <c r="N52" i="21"/>
  <c r="M52" i="21"/>
  <c r="L52" i="21"/>
  <c r="K52" i="21"/>
  <c r="J52" i="21"/>
  <c r="I52" i="21"/>
  <c r="H52" i="21"/>
  <c r="G52" i="21"/>
  <c r="F52" i="21"/>
  <c r="E52" i="21"/>
  <c r="D52" i="21"/>
  <c r="C52" i="21"/>
  <c r="B52" i="21"/>
  <c r="A52" i="21"/>
  <c r="AR51" i="21"/>
  <c r="AQ51" i="21"/>
  <c r="AO51" i="21"/>
  <c r="AN51" i="21"/>
  <c r="AL51" i="21"/>
  <c r="AK51" i="21"/>
  <c r="AC51" i="21"/>
  <c r="AB51" i="21"/>
  <c r="AD51" i="21" s="1"/>
  <c r="Z51" i="21"/>
  <c r="Y51" i="21"/>
  <c r="AA51" i="21" s="1"/>
  <c r="W51" i="21"/>
  <c r="V51" i="21"/>
  <c r="T51" i="21"/>
  <c r="S51" i="21"/>
  <c r="Q51" i="21"/>
  <c r="P51" i="21"/>
  <c r="R51" i="21" s="1"/>
  <c r="O51" i="21"/>
  <c r="N51" i="21"/>
  <c r="M51" i="21"/>
  <c r="L51" i="21"/>
  <c r="K51" i="21"/>
  <c r="J51" i="21"/>
  <c r="I51" i="21"/>
  <c r="H51" i="21"/>
  <c r="G51" i="21"/>
  <c r="F51" i="21"/>
  <c r="E51" i="21"/>
  <c r="D51" i="21"/>
  <c r="C51" i="21"/>
  <c r="B51" i="21"/>
  <c r="A51" i="21"/>
  <c r="AR50" i="21"/>
  <c r="AQ50" i="21"/>
  <c r="AO50" i="21"/>
  <c r="AN50" i="21"/>
  <c r="AL50" i="21"/>
  <c r="AK50" i="21"/>
  <c r="AC50" i="21"/>
  <c r="AB50" i="21"/>
  <c r="Z50" i="21"/>
  <c r="Y50" i="21"/>
  <c r="W50" i="21"/>
  <c r="V50" i="21"/>
  <c r="T50" i="21"/>
  <c r="S50" i="21"/>
  <c r="Q50" i="21"/>
  <c r="P50" i="21"/>
  <c r="O50" i="21"/>
  <c r="N50" i="21"/>
  <c r="M50" i="21"/>
  <c r="L50" i="21"/>
  <c r="K50" i="21"/>
  <c r="J50" i="21"/>
  <c r="I50" i="21"/>
  <c r="H50" i="21"/>
  <c r="G50" i="21"/>
  <c r="F50" i="21"/>
  <c r="E50" i="21"/>
  <c r="D50" i="21"/>
  <c r="C50" i="21"/>
  <c r="B50" i="21"/>
  <c r="A50" i="21"/>
  <c r="AR49" i="21"/>
  <c r="AQ49" i="21"/>
  <c r="AO49" i="21"/>
  <c r="AN49" i="21"/>
  <c r="AP49" i="21" s="1"/>
  <c r="AL49" i="21"/>
  <c r="AK49" i="21"/>
  <c r="AC49" i="21"/>
  <c r="AB49" i="21"/>
  <c r="Z49" i="21"/>
  <c r="Y49" i="21"/>
  <c r="AA49" i="21" s="1"/>
  <c r="W49" i="21"/>
  <c r="V49" i="21"/>
  <c r="X49" i="21" s="1"/>
  <c r="T49" i="21"/>
  <c r="S49" i="21"/>
  <c r="Q49" i="21"/>
  <c r="P49" i="21"/>
  <c r="O49" i="21"/>
  <c r="N49" i="21"/>
  <c r="M49" i="21"/>
  <c r="L49" i="21"/>
  <c r="K49" i="21"/>
  <c r="J49" i="21"/>
  <c r="I49" i="21"/>
  <c r="H49" i="21"/>
  <c r="G49" i="21"/>
  <c r="F49" i="21"/>
  <c r="E49" i="21"/>
  <c r="D49" i="21"/>
  <c r="C49" i="21"/>
  <c r="B49" i="21"/>
  <c r="A49" i="21"/>
  <c r="AR48" i="21"/>
  <c r="AQ48" i="21"/>
  <c r="AO48" i="21"/>
  <c r="AN48" i="21"/>
  <c r="AL48" i="21"/>
  <c r="AK48" i="21"/>
  <c r="AC48" i="21"/>
  <c r="AB48" i="21"/>
  <c r="Z48" i="21"/>
  <c r="Y48" i="21"/>
  <c r="W48" i="21"/>
  <c r="V48" i="21"/>
  <c r="T48" i="21"/>
  <c r="S48" i="21"/>
  <c r="Q48" i="21"/>
  <c r="P48" i="21"/>
  <c r="O48" i="21"/>
  <c r="N48" i="21"/>
  <c r="M48" i="21"/>
  <c r="L48" i="21"/>
  <c r="K48" i="21"/>
  <c r="J48" i="21"/>
  <c r="I48" i="21"/>
  <c r="H48" i="21"/>
  <c r="G48" i="21"/>
  <c r="F48" i="21"/>
  <c r="E48" i="21"/>
  <c r="D48" i="21"/>
  <c r="C48" i="21"/>
  <c r="B48" i="21"/>
  <c r="A48" i="21"/>
  <c r="AR47" i="21"/>
  <c r="AQ47" i="21"/>
  <c r="AO47" i="21"/>
  <c r="AN47" i="21"/>
  <c r="AP47" i="21" s="1"/>
  <c r="AL47" i="21"/>
  <c r="AK47" i="21"/>
  <c r="AM47" i="21" s="1"/>
  <c r="AC47" i="21"/>
  <c r="AB47" i="21"/>
  <c r="Z47" i="21"/>
  <c r="Y47" i="21"/>
  <c r="W47" i="21"/>
  <c r="V47" i="21"/>
  <c r="X47" i="21" s="1"/>
  <c r="T47" i="21"/>
  <c r="S47" i="21"/>
  <c r="U47" i="21" s="1"/>
  <c r="Q47" i="21"/>
  <c r="P47" i="21"/>
  <c r="O47" i="21"/>
  <c r="N47" i="21"/>
  <c r="M47" i="21"/>
  <c r="L47" i="21"/>
  <c r="K47" i="21"/>
  <c r="J47" i="21"/>
  <c r="I47" i="21"/>
  <c r="H47" i="21"/>
  <c r="G47" i="21"/>
  <c r="F47" i="21"/>
  <c r="E47" i="21"/>
  <c r="D47" i="21"/>
  <c r="C47" i="21"/>
  <c r="B47" i="21"/>
  <c r="A47" i="21"/>
  <c r="AR46" i="21"/>
  <c r="AQ46" i="21"/>
  <c r="AO46" i="21"/>
  <c r="AN46" i="21"/>
  <c r="AL46" i="21"/>
  <c r="AK46" i="21"/>
  <c r="AC46" i="21"/>
  <c r="AB46" i="21"/>
  <c r="Z46" i="21"/>
  <c r="Y46" i="21"/>
  <c r="W46" i="21"/>
  <c r="V46" i="21"/>
  <c r="T46" i="21"/>
  <c r="S46" i="21"/>
  <c r="Q46" i="21"/>
  <c r="P46" i="21"/>
  <c r="O46" i="21"/>
  <c r="N46" i="21"/>
  <c r="M46" i="21"/>
  <c r="L46" i="21"/>
  <c r="K46" i="21"/>
  <c r="J46" i="21"/>
  <c r="I46" i="21"/>
  <c r="H46" i="21"/>
  <c r="G46" i="21"/>
  <c r="F46" i="21"/>
  <c r="E46" i="21"/>
  <c r="D46" i="21"/>
  <c r="C46" i="21"/>
  <c r="B46" i="21"/>
  <c r="A46" i="21"/>
  <c r="AR45" i="21"/>
  <c r="AQ45" i="21"/>
  <c r="AO45" i="21"/>
  <c r="AN45" i="21"/>
  <c r="AL45" i="21"/>
  <c r="AK45" i="21"/>
  <c r="AM45" i="21" s="1"/>
  <c r="AC45" i="21"/>
  <c r="AB45" i="21"/>
  <c r="AD45" i="21" s="1"/>
  <c r="Z45" i="21"/>
  <c r="Y45" i="21"/>
  <c r="W45" i="21"/>
  <c r="V45" i="21"/>
  <c r="T45" i="21"/>
  <c r="S45" i="21"/>
  <c r="U45" i="21" s="1"/>
  <c r="Q45" i="21"/>
  <c r="P45" i="21"/>
  <c r="R45" i="21" s="1"/>
  <c r="O45" i="21"/>
  <c r="N45" i="21"/>
  <c r="M45" i="21"/>
  <c r="L45" i="21"/>
  <c r="K45" i="21"/>
  <c r="J45" i="21"/>
  <c r="I45" i="21"/>
  <c r="H45" i="21"/>
  <c r="G45" i="21"/>
  <c r="F45" i="21"/>
  <c r="E45" i="21"/>
  <c r="D45" i="21"/>
  <c r="C45" i="21"/>
  <c r="B45" i="21"/>
  <c r="A45" i="21"/>
  <c r="AR44" i="21"/>
  <c r="AQ44" i="21"/>
  <c r="AO44" i="21"/>
  <c r="AN44" i="21"/>
  <c r="AL44" i="21"/>
  <c r="AK44" i="21"/>
  <c r="AC44" i="21"/>
  <c r="AB44" i="21"/>
  <c r="Z44" i="21"/>
  <c r="Y44" i="21"/>
  <c r="W44" i="21"/>
  <c r="V44" i="21"/>
  <c r="T44" i="21"/>
  <c r="S44" i="21"/>
  <c r="Q44" i="21"/>
  <c r="P44" i="21"/>
  <c r="O44" i="21"/>
  <c r="N44" i="21"/>
  <c r="M44" i="21"/>
  <c r="L44" i="21"/>
  <c r="K44" i="21"/>
  <c r="J44" i="21"/>
  <c r="I44" i="21"/>
  <c r="H44" i="21"/>
  <c r="G44" i="21"/>
  <c r="F44" i="21"/>
  <c r="E44" i="21"/>
  <c r="D44" i="21"/>
  <c r="C44" i="21"/>
  <c r="B44" i="21"/>
  <c r="A44" i="21"/>
  <c r="AR43" i="21"/>
  <c r="AQ43" i="21"/>
  <c r="AO43" i="21"/>
  <c r="AN43" i="21"/>
  <c r="AL43" i="21"/>
  <c r="AK43" i="21"/>
  <c r="AC43" i="21"/>
  <c r="AB43" i="21"/>
  <c r="AD43" i="21" s="1"/>
  <c r="Z43" i="21"/>
  <c r="Y43" i="21"/>
  <c r="AA43" i="21" s="1"/>
  <c r="W43" i="21"/>
  <c r="V43" i="21"/>
  <c r="T43" i="21"/>
  <c r="S43" i="21"/>
  <c r="Q43" i="21"/>
  <c r="P43" i="21"/>
  <c r="R43" i="21" s="1"/>
  <c r="O43" i="21"/>
  <c r="N43" i="21"/>
  <c r="M43" i="21"/>
  <c r="L43" i="21"/>
  <c r="K43" i="21"/>
  <c r="J43" i="21"/>
  <c r="I43" i="21"/>
  <c r="H43" i="21"/>
  <c r="G43" i="21"/>
  <c r="F43" i="21"/>
  <c r="E43" i="21"/>
  <c r="D43" i="21"/>
  <c r="C43" i="21"/>
  <c r="B43" i="21"/>
  <c r="A43" i="21"/>
  <c r="AR42" i="21"/>
  <c r="AQ42" i="21"/>
  <c r="AO42" i="21"/>
  <c r="AN42" i="21"/>
  <c r="AL42" i="21"/>
  <c r="AK42" i="21"/>
  <c r="AC42" i="21"/>
  <c r="AB42" i="21"/>
  <c r="Z42" i="21"/>
  <c r="Y42" i="21"/>
  <c r="W42" i="21"/>
  <c r="V42" i="21"/>
  <c r="T42" i="21"/>
  <c r="S42" i="21"/>
  <c r="Q42" i="21"/>
  <c r="P42" i="21"/>
  <c r="O42" i="21"/>
  <c r="N42" i="21"/>
  <c r="M42" i="21"/>
  <c r="L42" i="21"/>
  <c r="K42" i="21"/>
  <c r="J42" i="21"/>
  <c r="I42" i="21"/>
  <c r="H42" i="21"/>
  <c r="G42" i="21"/>
  <c r="F42" i="21"/>
  <c r="E42" i="21"/>
  <c r="D42" i="21"/>
  <c r="C42" i="21"/>
  <c r="B42" i="21"/>
  <c r="A42" i="21"/>
  <c r="AR41" i="21"/>
  <c r="AQ41" i="21"/>
  <c r="AO41" i="21"/>
  <c r="AN41" i="21"/>
  <c r="AP41" i="21" s="1"/>
  <c r="AL41" i="21"/>
  <c r="AK41" i="21"/>
  <c r="AM41" i="21" s="1"/>
  <c r="AC41" i="21"/>
  <c r="AB41" i="21"/>
  <c r="Z41" i="21"/>
  <c r="Y41" i="21"/>
  <c r="W41" i="21"/>
  <c r="V41" i="21"/>
  <c r="T41" i="21"/>
  <c r="S41" i="21"/>
  <c r="Q41" i="21"/>
  <c r="P41" i="21"/>
  <c r="O41" i="21"/>
  <c r="N41" i="21"/>
  <c r="M41" i="21"/>
  <c r="L41" i="21"/>
  <c r="K41" i="21"/>
  <c r="J41" i="21"/>
  <c r="I41" i="21"/>
  <c r="H41" i="21"/>
  <c r="G41" i="21"/>
  <c r="F41" i="21"/>
  <c r="E41" i="21"/>
  <c r="D41" i="21"/>
  <c r="C41" i="21"/>
  <c r="B41" i="21"/>
  <c r="A41" i="21"/>
  <c r="AR40" i="21"/>
  <c r="AQ40" i="21"/>
  <c r="AO40" i="21"/>
  <c r="AN40" i="21"/>
  <c r="AL40" i="21"/>
  <c r="AK40" i="21"/>
  <c r="AC40" i="21"/>
  <c r="AB40" i="21"/>
  <c r="Z40" i="21"/>
  <c r="Y40" i="21"/>
  <c r="W40" i="21"/>
  <c r="V40" i="21"/>
  <c r="T40" i="21"/>
  <c r="S40" i="21"/>
  <c r="Q40" i="21"/>
  <c r="P40" i="21"/>
  <c r="O40" i="21"/>
  <c r="N40" i="21"/>
  <c r="M40" i="21"/>
  <c r="L40" i="21"/>
  <c r="K40" i="21"/>
  <c r="J40" i="21"/>
  <c r="I40" i="21"/>
  <c r="H40" i="21"/>
  <c r="G40" i="21"/>
  <c r="F40" i="21"/>
  <c r="E40" i="21"/>
  <c r="D40" i="21"/>
  <c r="C40" i="21"/>
  <c r="B40" i="21"/>
  <c r="A40" i="21"/>
  <c r="AR39" i="21"/>
  <c r="AQ39" i="21"/>
  <c r="AO39" i="21"/>
  <c r="AN39" i="21"/>
  <c r="AL39" i="21"/>
  <c r="AK39" i="21"/>
  <c r="AC39" i="21"/>
  <c r="AB39" i="21"/>
  <c r="Z39" i="21"/>
  <c r="Y39" i="21"/>
  <c r="W39" i="21"/>
  <c r="V39" i="21"/>
  <c r="T39" i="21"/>
  <c r="S39" i="21"/>
  <c r="Q39" i="21"/>
  <c r="P39" i="21"/>
  <c r="O39" i="21"/>
  <c r="N39" i="21"/>
  <c r="M39" i="21"/>
  <c r="L39" i="21"/>
  <c r="K39" i="21"/>
  <c r="J39" i="21"/>
  <c r="I39" i="21"/>
  <c r="H39" i="21"/>
  <c r="G39" i="21"/>
  <c r="F39" i="21"/>
  <c r="E39" i="21"/>
  <c r="D39" i="21"/>
  <c r="C39" i="21"/>
  <c r="B39" i="21"/>
  <c r="A39" i="21"/>
  <c r="AR38" i="21"/>
  <c r="AR68" i="21" s="1"/>
  <c r="AQ38" i="21"/>
  <c r="AQ68" i="21" s="1"/>
  <c r="AO38" i="21"/>
  <c r="AN38" i="21"/>
  <c r="AL38" i="21"/>
  <c r="AK38" i="21"/>
  <c r="AC38" i="21"/>
  <c r="AB38" i="21"/>
  <c r="Z38" i="21"/>
  <c r="Y38" i="21"/>
  <c r="W38" i="21"/>
  <c r="V38" i="21"/>
  <c r="T38" i="21"/>
  <c r="S38" i="21"/>
  <c r="Q38" i="21"/>
  <c r="P38" i="21"/>
  <c r="O38" i="21"/>
  <c r="L109" i="21" s="1" a="1"/>
  <c r="L109" i="21" s="1"/>
  <c r="N38" i="21"/>
  <c r="M38" i="21"/>
  <c r="L38" i="21"/>
  <c r="K38" i="21"/>
  <c r="J38" i="21"/>
  <c r="I38" i="21"/>
  <c r="H38" i="21"/>
  <c r="G38" i="21"/>
  <c r="F38" i="21"/>
  <c r="E38" i="21"/>
  <c r="D38" i="21"/>
  <c r="B38" i="21"/>
  <c r="A38" i="21"/>
  <c r="U38" i="21" l="1"/>
  <c r="AM38" i="21"/>
  <c r="X40" i="21"/>
  <c r="AP40" i="21"/>
  <c r="X38" i="21"/>
  <c r="AA40" i="21"/>
  <c r="U39" i="21"/>
  <c r="AM39" i="21"/>
  <c r="X41" i="21"/>
  <c r="X42" i="21"/>
  <c r="AP42" i="21"/>
  <c r="AA44" i="21"/>
  <c r="R46" i="21"/>
  <c r="AD46" i="21"/>
  <c r="U48" i="21"/>
  <c r="AM48" i="21"/>
  <c r="X50" i="21"/>
  <c r="AP50" i="21"/>
  <c r="AA52" i="21"/>
  <c r="R54" i="21"/>
  <c r="AD54" i="21"/>
  <c r="U56" i="21"/>
  <c r="AM56" i="21"/>
  <c r="X58" i="21"/>
  <c r="AP58" i="21"/>
  <c r="AA60" i="21"/>
  <c r="AJ68" i="21"/>
  <c r="AJ69" i="21"/>
  <c r="X54" i="21"/>
  <c r="AA56" i="21"/>
  <c r="R58" i="21"/>
  <c r="AD58" i="21"/>
  <c r="U60" i="21"/>
  <c r="AM60" i="21"/>
  <c r="X62" i="21"/>
  <c r="AP62" i="21"/>
  <c r="AA64" i="21"/>
  <c r="R66" i="21"/>
  <c r="AA38" i="21"/>
  <c r="R40" i="21"/>
  <c r="AD40" i="21"/>
  <c r="U43" i="21"/>
  <c r="AM43" i="21"/>
  <c r="X45" i="21"/>
  <c r="AP45" i="21"/>
  <c r="AA47" i="21"/>
  <c r="R49" i="21"/>
  <c r="AD49" i="21"/>
  <c r="U51" i="21"/>
  <c r="AM51" i="21"/>
  <c r="X53" i="21"/>
  <c r="AP53" i="21"/>
  <c r="AA55" i="21"/>
  <c r="R57" i="21"/>
  <c r="AD57" i="21"/>
  <c r="U59" i="21"/>
  <c r="AM59" i="21"/>
  <c r="AM67" i="21"/>
  <c r="K68" i="21"/>
  <c r="L93" i="21" s="1" a="1"/>
  <c r="L93" i="21" s="1"/>
  <c r="X39" i="21"/>
  <c r="X69" i="21" s="1"/>
  <c r="AP39" i="21"/>
  <c r="AA41" i="21"/>
  <c r="AA42" i="21"/>
  <c r="R44" i="21"/>
  <c r="AD44" i="21"/>
  <c r="U46" i="21"/>
  <c r="AM46" i="21"/>
  <c r="X48" i="21"/>
  <c r="AP48" i="21"/>
  <c r="AA50" i="21"/>
  <c r="R52" i="21"/>
  <c r="AD52" i="21"/>
  <c r="U54" i="21"/>
  <c r="AM54" i="21"/>
  <c r="X56" i="21"/>
  <c r="AP56" i="21"/>
  <c r="AA58" i="21"/>
  <c r="R60" i="21"/>
  <c r="AD60" i="21"/>
  <c r="U62" i="21"/>
  <c r="AM62" i="21"/>
  <c r="X64" i="21"/>
  <c r="AP64" i="21"/>
  <c r="AA66" i="21"/>
  <c r="M69" i="21"/>
  <c r="AA39" i="21"/>
  <c r="R41" i="21"/>
  <c r="AD41" i="21"/>
  <c r="R42" i="21"/>
  <c r="AD42" i="21"/>
  <c r="U44" i="21"/>
  <c r="AM44" i="21"/>
  <c r="X46" i="21"/>
  <c r="AP46" i="21"/>
  <c r="AA48" i="21"/>
  <c r="R50" i="21"/>
  <c r="AD50" i="21"/>
  <c r="U52" i="21"/>
  <c r="AM52" i="21"/>
  <c r="AP54" i="21"/>
  <c r="AD66" i="21"/>
  <c r="N69" i="21"/>
  <c r="X61" i="21"/>
  <c r="AP61" i="21"/>
  <c r="AA63" i="21"/>
  <c r="R65" i="21"/>
  <c r="AD65" i="21"/>
  <c r="U67" i="21"/>
  <c r="R39" i="21"/>
  <c r="AD39" i="21"/>
  <c r="U41" i="21"/>
  <c r="U42" i="21"/>
  <c r="AM42" i="21"/>
  <c r="X44" i="21"/>
  <c r="AP44" i="21"/>
  <c r="AA46" i="21"/>
  <c r="R48" i="21"/>
  <c r="AD48" i="21"/>
  <c r="U50" i="21"/>
  <c r="AM50" i="21"/>
  <c r="X52" i="21"/>
  <c r="AP52" i="21"/>
  <c r="AA54" i="21"/>
  <c r="R56" i="21"/>
  <c r="AD56" i="21"/>
  <c r="U58" i="21"/>
  <c r="AM58" i="21"/>
  <c r="X60" i="21"/>
  <c r="AP60" i="21"/>
  <c r="AA62" i="21"/>
  <c r="R64" i="21"/>
  <c r="AD64" i="21"/>
  <c r="AG68" i="21"/>
  <c r="AF86" i="21" s="1"/>
  <c r="R38" i="21"/>
  <c r="AD38" i="21"/>
  <c r="U40" i="21"/>
  <c r="AM40" i="21"/>
  <c r="X43" i="21"/>
  <c r="AP43" i="21"/>
  <c r="AA45" i="21"/>
  <c r="R47" i="21"/>
  <c r="AD47" i="21"/>
  <c r="U49" i="21"/>
  <c r="AM49" i="21"/>
  <c r="X51" i="21"/>
  <c r="AP51" i="21"/>
  <c r="AA53" i="21"/>
  <c r="R55" i="21"/>
  <c r="AD55" i="21"/>
  <c r="U57" i="21"/>
  <c r="AM57" i="21"/>
  <c r="X59" i="21"/>
  <c r="AP59" i="21"/>
  <c r="R62" i="21"/>
  <c r="AD62" i="21"/>
  <c r="U64" i="21"/>
  <c r="AM64" i="21"/>
  <c r="X66" i="21"/>
  <c r="AP66" i="21"/>
  <c r="AP67" i="21"/>
  <c r="AI82" i="21"/>
  <c r="AI86" i="21"/>
  <c r="AI80" i="21"/>
  <c r="AI81" i="21"/>
  <c r="AH91" i="21" a="1"/>
  <c r="AH91" i="21" s="1"/>
  <c r="AI73" i="21"/>
  <c r="AI74" i="21"/>
  <c r="AH92" i="21" a="1"/>
  <c r="AH92" i="21" s="1"/>
  <c r="AI75" i="21"/>
  <c r="AP38" i="21"/>
  <c r="M68" i="21"/>
  <c r="L111" i="21" a="1"/>
  <c r="L111" i="21" s="1"/>
  <c r="L95" i="21" a="1"/>
  <c r="L95" i="21" s="1"/>
  <c r="L100" i="21" a="1"/>
  <c r="L100" i="21" s="1"/>
  <c r="L98" i="21" a="1"/>
  <c r="L98" i="21" s="1"/>
  <c r="L99" i="21" a="1"/>
  <c r="L99" i="21" s="1"/>
  <c r="O69" i="21"/>
  <c r="N68" i="21"/>
  <c r="L106" i="21" a="1"/>
  <c r="L106" i="21" s="1"/>
  <c r="K108" i="21" a="1"/>
  <c r="K108" i="21" s="1"/>
  <c r="K110" i="21" a="1"/>
  <c r="K110" i="21" s="1"/>
  <c r="O68" i="21"/>
  <c r="K103" i="21" a="1"/>
  <c r="K103" i="21" s="1"/>
  <c r="K105" i="21" a="1"/>
  <c r="K105" i="21" s="1"/>
  <c r="L108" i="21" a="1"/>
  <c r="L108" i="21" s="1"/>
  <c r="L110" i="21" a="1"/>
  <c r="L110" i="21" s="1"/>
  <c r="L104" i="21" a="1"/>
  <c r="L104" i="21" s="1"/>
  <c r="L103" i="21" a="1"/>
  <c r="L103" i="21" s="1"/>
  <c r="L105" i="21" a="1"/>
  <c r="L105" i="21" s="1"/>
  <c r="K107" i="21" a="1"/>
  <c r="K107" i="21" s="1"/>
  <c r="K69" i="21"/>
  <c r="K109" i="21" a="1"/>
  <c r="K109" i="21" s="1"/>
  <c r="K104" i="21" a="1"/>
  <c r="K104" i="21" s="1"/>
  <c r="L107" i="21" a="1"/>
  <c r="L107" i="21" s="1"/>
  <c r="K111" i="21" a="1"/>
  <c r="K111" i="21" s="1"/>
  <c r="K106" i="21" a="1"/>
  <c r="K106" i="21" s="1"/>
  <c r="AF80" i="21" l="1"/>
  <c r="X68" i="21"/>
  <c r="W81" i="21" s="1"/>
  <c r="U69" i="21"/>
  <c r="AA68" i="21"/>
  <c r="Z82" i="21" s="1"/>
  <c r="AM68" i="21"/>
  <c r="AL80" i="21" s="1"/>
  <c r="U68" i="21"/>
  <c r="T86" i="21" s="1"/>
  <c r="AM69" i="21"/>
  <c r="AA69" i="21"/>
  <c r="V92" i="21" a="1"/>
  <c r="V92" i="21" s="1"/>
  <c r="R69" i="21"/>
  <c r="R68" i="21"/>
  <c r="Q80" i="21" s="1"/>
  <c r="L94" i="21" a="1"/>
  <c r="L94" i="21" s="1"/>
  <c r="V91" i="21" a="1"/>
  <c r="V91" i="21" s="1"/>
  <c r="K98" i="21" a="1"/>
  <c r="K98" i="21" s="1"/>
  <c r="W73" i="21"/>
  <c r="AF81" i="21"/>
  <c r="K100" i="21" a="1"/>
  <c r="K100" i="21" s="1"/>
  <c r="K94" i="21" a="1"/>
  <c r="K94" i="21" s="1"/>
  <c r="W74" i="21"/>
  <c r="AF82" i="21"/>
  <c r="AD68" i="21"/>
  <c r="W80" i="21"/>
  <c r="K97" i="21" a="1"/>
  <c r="K97" i="21" s="1"/>
  <c r="K99" i="21" a="1"/>
  <c r="K99" i="21" s="1"/>
  <c r="W86" i="21"/>
  <c r="K93" i="21" a="1"/>
  <c r="K93" i="21" s="1"/>
  <c r="L97" i="21" a="1"/>
  <c r="L97" i="21" s="1"/>
  <c r="W75" i="21"/>
  <c r="AP68" i="21"/>
  <c r="AR95" i="21" s="1"/>
  <c r="AF75" i="21"/>
  <c r="AE92" i="21" a="1"/>
  <c r="AE92" i="21" s="1"/>
  <c r="AF74" i="21"/>
  <c r="AF73" i="21"/>
  <c r="AE91" i="21" a="1"/>
  <c r="AE91" i="21" s="1"/>
  <c r="AG69" i="21"/>
  <c r="W82" i="21"/>
  <c r="AL86" i="21"/>
  <c r="Z80" i="21"/>
  <c r="Q86" i="21"/>
  <c r="Q81" i="21"/>
  <c r="AL81" i="21"/>
  <c r="Z81" i="21"/>
  <c r="Q82" i="21"/>
  <c r="D103" i="21"/>
  <c r="Z86" i="21"/>
  <c r="AP69" i="21"/>
  <c r="D93" i="21"/>
  <c r="AR126" i="21"/>
  <c r="AR90" i="21"/>
  <c r="AR88" i="21"/>
  <c r="AR100" i="21"/>
  <c r="AR89" i="21"/>
  <c r="AR96" i="21"/>
  <c r="AR110" i="21"/>
  <c r="AR117" i="21"/>
  <c r="AR120" i="21"/>
  <c r="AL75" i="21"/>
  <c r="AL74" i="21"/>
  <c r="AL73" i="21"/>
  <c r="AK92" i="21" a="1"/>
  <c r="AK92" i="21" s="1"/>
  <c r="AK91" i="21" a="1"/>
  <c r="AK91" i="21" s="1"/>
  <c r="AL82" i="21"/>
  <c r="Z75" i="21"/>
  <c r="Z74" i="21"/>
  <c r="Z73" i="21"/>
  <c r="Y91" i="21" a="1"/>
  <c r="Y91" i="21" s="1"/>
  <c r="Y92" i="21" a="1"/>
  <c r="Y92" i="21" s="1"/>
  <c r="K96" i="21" a="1"/>
  <c r="K96" i="21" s="1"/>
  <c r="L96" i="21" a="1"/>
  <c r="L96" i="21" s="1"/>
  <c r="Q75" i="21"/>
  <c r="Q74" i="21"/>
  <c r="Q73" i="21"/>
  <c r="T82" i="21" l="1"/>
  <c r="AR73" i="21"/>
  <c r="AR85" i="21"/>
  <c r="T81" i="21"/>
  <c r="AR101" i="21"/>
  <c r="AR83" i="21"/>
  <c r="AN92" i="21" a="1"/>
  <c r="AN92" i="21" s="1"/>
  <c r="AR111" i="21"/>
  <c r="T75" i="21"/>
  <c r="AR112" i="21"/>
  <c r="AR106" i="21"/>
  <c r="K95" i="21" a="1"/>
  <c r="K95" i="21" s="1"/>
  <c r="AR75" i="21"/>
  <c r="AR78" i="21"/>
  <c r="T73" i="21"/>
  <c r="S91" i="21" a="1"/>
  <c r="S91" i="21" s="1"/>
  <c r="T80" i="21"/>
  <c r="AR80" i="21"/>
  <c r="AR105" i="21"/>
  <c r="AR84" i="21"/>
  <c r="S92" i="21" a="1"/>
  <c r="S92" i="21" s="1"/>
  <c r="AR74" i="21"/>
  <c r="AR107" i="21"/>
  <c r="T74" i="21"/>
  <c r="AN91" i="21" a="1"/>
  <c r="AN91" i="21" s="1"/>
  <c r="AR102" i="21"/>
  <c r="AR123" i="21"/>
  <c r="AR97" i="21"/>
  <c r="AR79" i="21"/>
  <c r="AC80" i="21"/>
  <c r="AC86" i="21"/>
  <c r="AC82" i="21"/>
  <c r="AB92" i="21" a="1"/>
  <c r="AB92" i="21" s="1"/>
  <c r="AC81" i="21"/>
  <c r="AC75" i="21"/>
  <c r="AC74" i="21"/>
  <c r="AC73" i="21"/>
  <c r="AD69" i="21"/>
  <c r="AB91" i="21" a="1"/>
  <c r="AB91" i="21" s="1"/>
  <c r="Q18" i="15"/>
  <c r="P18" i="15"/>
  <c r="O18" i="15"/>
  <c r="N18" i="15"/>
  <c r="M18" i="15"/>
  <c r="L18" i="15"/>
  <c r="K18" i="15"/>
  <c r="J18" i="15"/>
  <c r="I18" i="15"/>
  <c r="H18" i="15"/>
  <c r="G18" i="15"/>
  <c r="F18" i="15"/>
  <c r="E18" i="15"/>
  <c r="D18" i="15"/>
  <c r="Q16" i="15"/>
  <c r="P16" i="15"/>
  <c r="O16" i="15"/>
  <c r="N16" i="15"/>
  <c r="M16" i="15"/>
  <c r="L16" i="15"/>
  <c r="K16" i="15"/>
  <c r="J16" i="15"/>
  <c r="I16" i="15"/>
  <c r="H16" i="15"/>
  <c r="G16" i="15"/>
  <c r="F16" i="15"/>
  <c r="E16" i="15"/>
  <c r="D16" i="15"/>
  <c r="Q13" i="15"/>
  <c r="P13" i="15"/>
  <c r="O13" i="15"/>
  <c r="N13" i="15"/>
  <c r="M13" i="15"/>
  <c r="L13" i="15"/>
  <c r="K13" i="15"/>
  <c r="J13" i="15"/>
  <c r="I13" i="15"/>
  <c r="H13" i="15"/>
  <c r="G13" i="15"/>
  <c r="F13" i="15"/>
  <c r="E13" i="15"/>
  <c r="D13" i="15"/>
  <c r="Q12" i="15"/>
  <c r="P12" i="15"/>
  <c r="O12" i="15"/>
  <c r="N12" i="15"/>
  <c r="M12" i="15"/>
  <c r="L12" i="15"/>
  <c r="K12" i="15"/>
  <c r="J12" i="15"/>
  <c r="I12" i="15"/>
  <c r="H12" i="15"/>
  <c r="G12" i="15"/>
  <c r="F12" i="15"/>
  <c r="E12" i="15"/>
  <c r="D12" i="15"/>
  <c r="Q9" i="15"/>
  <c r="P9" i="15"/>
  <c r="O9" i="15"/>
  <c r="N9" i="15"/>
  <c r="M9" i="15"/>
  <c r="L9" i="15"/>
  <c r="K9" i="15"/>
  <c r="J9" i="15"/>
  <c r="I9" i="15"/>
  <c r="H9" i="15"/>
  <c r="G9" i="15"/>
  <c r="F9" i="15"/>
  <c r="E9" i="15"/>
  <c r="D9" i="15"/>
  <c r="Q8" i="15"/>
  <c r="P8" i="15"/>
  <c r="O8" i="15"/>
  <c r="N8" i="15"/>
  <c r="M8" i="15"/>
  <c r="L8" i="15"/>
  <c r="K8" i="15"/>
  <c r="J8" i="15"/>
  <c r="I8" i="15"/>
  <c r="H8" i="15"/>
  <c r="G8" i="15"/>
  <c r="F8" i="15"/>
  <c r="E8" i="15"/>
  <c r="D8" i="15"/>
  <c r="C18" i="15"/>
  <c r="C16" i="15"/>
  <c r="C13" i="15"/>
  <c r="C12" i="15"/>
  <c r="C14" i="15" s="1"/>
  <c r="C9" i="15"/>
  <c r="K10" i="15" l="1"/>
  <c r="G14" i="15"/>
  <c r="D10" i="15"/>
  <c r="H14" i="15"/>
  <c r="P14" i="15"/>
  <c r="F10" i="15"/>
  <c r="J10" i="15"/>
  <c r="F14" i="15"/>
  <c r="N10" i="15"/>
  <c r="E14" i="15"/>
  <c r="I14" i="15"/>
  <c r="Q14" i="15"/>
  <c r="C10" i="15"/>
  <c r="H10" i="15"/>
  <c r="P10" i="15"/>
  <c r="E10" i="15"/>
  <c r="M10" i="15"/>
  <c r="G10" i="15"/>
  <c r="O10" i="15"/>
  <c r="J14" i="15"/>
  <c r="I10" i="15"/>
  <c r="Q10" i="15"/>
  <c r="K14" i="15"/>
  <c r="D14" i="15"/>
  <c r="L14" i="15"/>
  <c r="N14" i="15"/>
  <c r="M14" i="15"/>
  <c r="L10" i="15"/>
  <c r="O14"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<sst xmlns="http://schemas.openxmlformats.org/spreadsheetml/2006/main" count="2090" uniqueCount="949">
  <si>
    <t>Note: Data may be entered only in rows 5 through 34.  Data must start with row 5.  All other rows below line 34 are locked and will automatically be populated.</t>
  </si>
  <si>
    <t>No.</t>
  </si>
  <si>
    <t>MY</t>
  </si>
  <si>
    <t>Manufacturer</t>
  </si>
  <si>
    <t>Vehicle Model</t>
  </si>
  <si>
    <t>OBD II Group</t>
  </si>
  <si>
    <t>Alternate-Fueled Vehicle</t>
  </si>
  <si>
    <t xml:space="preserve">Powertrain Type </t>
  </si>
  <si>
    <t>Test Group</t>
  </si>
  <si>
    <t>VIN</t>
  </si>
  <si>
    <t>Date</t>
  </si>
  <si>
    <t>ODO</t>
  </si>
  <si>
    <t>CAL ID</t>
  </si>
  <si>
    <t>Gen Den</t>
  </si>
  <si>
    <t>Ign Cycle</t>
  </si>
  <si>
    <t>PHEV     Ign Cycle</t>
  </si>
  <si>
    <t>NMHCCatNum</t>
  </si>
  <si>
    <t>NMHCCatDen</t>
  </si>
  <si>
    <t>NMHCCatRat</t>
  </si>
  <si>
    <t>NOxCatNum</t>
  </si>
  <si>
    <t>NOxCatDen</t>
  </si>
  <si>
    <t>NOxCatRat</t>
  </si>
  <si>
    <t>NOxAdsNum</t>
  </si>
  <si>
    <t>NOxAdsDen</t>
  </si>
  <si>
    <t>NOxAdsRat</t>
  </si>
  <si>
    <t>ExhGasSenNum</t>
  </si>
  <si>
    <t>ExhGasSenDen</t>
  </si>
  <si>
    <t>ExhGasSenRat</t>
  </si>
  <si>
    <t>EGRNum or EGR/VVTNum</t>
  </si>
  <si>
    <t>EGRDen or EGR/VVTDen</t>
  </si>
  <si>
    <t>EGRRat or EGR/VVTRat</t>
  </si>
  <si>
    <t>VVTNum</t>
  </si>
  <si>
    <t>VVTDen</t>
  </si>
  <si>
    <t>VVTRat</t>
  </si>
  <si>
    <t>BoostNum</t>
  </si>
  <si>
    <t>BoostDen</t>
  </si>
  <si>
    <t>BoostRat</t>
  </si>
  <si>
    <t>FuelSysNum</t>
  </si>
  <si>
    <t>FuelSysDen</t>
  </si>
  <si>
    <t>FuelSysRat</t>
  </si>
  <si>
    <t>PMFltrlNum</t>
  </si>
  <si>
    <t>PMFltrDen</t>
  </si>
  <si>
    <t>PMFltrRat</t>
  </si>
  <si>
    <t>For PM Filter: Vehicle/Engine Type 1, 2, or 3</t>
  </si>
  <si>
    <t xml:space="preserve">For PM Filter: For 2026-2028 MY, Option 1 or 2 </t>
  </si>
  <si>
    <t>PHEV              Ign Cycle</t>
  </si>
  <si>
    <t>Average</t>
  </si>
  <si>
    <t>Standard Deviation</t>
  </si>
  <si>
    <t>Mandatory Recall Ratios</t>
  </si>
  <si>
    <t>Mandatory Recall Ratios (PM Filter)</t>
  </si>
  <si>
    <t>2019-2021 MY</t>
  </si>
  <si>
    <t>Average less than</t>
  </si>
  <si>
    <t>?</t>
  </si>
  <si>
    <t>0.033/0.099</t>
  </si>
  <si>
    <t>66% of vehicles less than</t>
  </si>
  <si>
    <t>Actual % of vehicles less than</t>
  </si>
  <si>
    <t>Finding of Noncompliance Criteria</t>
  </si>
  <si>
    <t>2022-2025 MY</t>
  </si>
  <si>
    <t>0.050/0.099</t>
  </si>
  <si>
    <t>2026-2028 MY</t>
  </si>
  <si>
    <t>0.050/0.111</t>
  </si>
  <si>
    <t>Minimum Ratios</t>
  </si>
  <si>
    <t>2029+ MY</t>
  </si>
  <si>
    <t>0.066/0.111</t>
  </si>
  <si>
    <t># of cars with this Den &lt; 95% of Gen Den</t>
  </si>
  <si>
    <t>Denominator Analysis</t>
  </si>
  <si>
    <t># of cars with this Den &gt; Gen Den</t>
  </si>
  <si>
    <t>Average miles per Ign Cycle</t>
  </si>
  <si>
    <t>Finding of Noncompliance Criteria (PM Filter)</t>
  </si>
  <si>
    <t>Average miles per General Den</t>
  </si>
  <si>
    <t>Average miles per PM Fltr Den</t>
  </si>
  <si>
    <t>0.100/0.265</t>
  </si>
  <si>
    <t>Average miles per NMHC Cat Den</t>
  </si>
  <si>
    <t>0.100/0.300</t>
  </si>
  <si>
    <t>General Den per Ign Cycle</t>
  </si>
  <si>
    <t>PM Fltr Den per Ign Cycle</t>
  </si>
  <si>
    <t>PM Fltr Den per General Den</t>
  </si>
  <si>
    <t>PM Fltr Ratio using General Den</t>
  </si>
  <si>
    <t>0.133/0.265</t>
  </si>
  <si>
    <t>0.150/0.300</t>
  </si>
  <si>
    <t>Denominator Analysis - PHEV</t>
  </si>
  <si>
    <t>Average PHEV Ign Cycle per Ign Cycle</t>
  </si>
  <si>
    <t>Average miles per PHEV Ign Cycle</t>
  </si>
  <si>
    <t>0.133/0.297</t>
  </si>
  <si>
    <t>0.150/0.336</t>
  </si>
  <si>
    <t>General Den per PHEV Ign Cycle</t>
  </si>
  <si>
    <t>PM Fltr Den per PHEV Ign Cycle</t>
  </si>
  <si>
    <t>0.177/0.297</t>
  </si>
  <si>
    <t>0.200/0.336</t>
  </si>
  <si>
    <t>Minimum Ratios (PM Filter)</t>
  </si>
  <si>
    <t>OBD II SAE J1979-2 Additional Diesel Rate-Based Data</t>
  </si>
  <si>
    <t xml:space="preserve"> </t>
  </si>
  <si>
    <t>Monitor Group</t>
  </si>
  <si>
    <t>Fault Code</t>
  </si>
  <si>
    <t>Monitor Description</t>
  </si>
  <si>
    <t>Numerator</t>
  </si>
  <si>
    <t>Denominator</t>
  </si>
  <si>
    <t>Ratio</t>
  </si>
  <si>
    <t>Average Ratio</t>
  </si>
  <si>
    <t>Standard Deviation Ratio</t>
  </si>
  <si>
    <t>Non-methane hydrocarbon converting (NMHC) catalyst monitors</t>
  </si>
  <si>
    <t>Oxides of nitrogen converting (NOx) catalyst monitors</t>
  </si>
  <si>
    <t>NOx adsorber or NOx trap (NOxAds) monitors</t>
  </si>
  <si>
    <t>Particulate matter (PM) filter (PMFltr) system monitors</t>
  </si>
  <si>
    <t>Exhaust gas sensor (ExhGasSen) monitors</t>
  </si>
  <si>
    <t>Exhaust gas recirculation (EGR) monitors</t>
  </si>
  <si>
    <t>Variable valve, timing, and/or control (VVT) monitors</t>
  </si>
  <si>
    <t>Boost pressure control (Boost) monitors</t>
  </si>
  <si>
    <t>Fuel system monitor (FuelSys) monitors</t>
  </si>
  <si>
    <t xml:space="preserve">Supplemental Monitor Activity Data </t>
  </si>
  <si>
    <t>ECU Name</t>
  </si>
  <si>
    <t>Mini-Numerator</t>
  </si>
  <si>
    <t>Mini-Denominator</t>
  </si>
  <si>
    <t>MAR</t>
  </si>
  <si>
    <t>Current 
Mini-N/Mini-D</t>
  </si>
  <si>
    <t>Average MAR</t>
  </si>
  <si>
    <t>Standard Deviation MAR</t>
  </si>
  <si>
    <t>REAL NOx Tracking Data</t>
  </si>
  <si>
    <r>
      <t xml:space="preserve">Calculated Values </t>
    </r>
    <r>
      <rPr>
        <sz val="12"/>
        <color theme="1"/>
        <rFont val="Arial"/>
        <family val="2"/>
      </rPr>
      <t>(cells are locked)</t>
    </r>
  </si>
  <si>
    <t>Units</t>
  </si>
  <si>
    <t>Lifetime engine out NOx emission rate (Bin 1)</t>
  </si>
  <si>
    <t>g/bhp-hr</t>
  </si>
  <si>
    <t>Lifetime tailpipe NOx emission rate (Bin 1)</t>
  </si>
  <si>
    <t>Lifetime NOx conversion efficiency (Bin 1)</t>
  </si>
  <si>
    <t>%</t>
  </si>
  <si>
    <t>Stored 100-hr engine out NOx emission rate (Bin 1)</t>
  </si>
  <si>
    <t>Stored 100-hr tailpipe NOx emission rate (Bin 1)</t>
  </si>
  <si>
    <t>Stored 100-hr NOx conversion efficiency (Bin 1)</t>
  </si>
  <si>
    <t>g/mi</t>
  </si>
  <si>
    <t>Percent time NOx sensors off-line</t>
  </si>
  <si>
    <t>REAL NOx Tracking Bin Data</t>
  </si>
  <si>
    <t>Active 100-hr:  NOx mass - engine out - Bin 1</t>
  </si>
  <si>
    <t>grams</t>
  </si>
  <si>
    <t>Active 100-hr:  NOx mass - engine out - Bin 2</t>
  </si>
  <si>
    <t>Active 100-hr:  NOx mass - engine out - Bin 3</t>
  </si>
  <si>
    <t>Active 100-hr:  NOx mass - engine out - Bin 4</t>
  </si>
  <si>
    <t>Active 100-hr:  NOx mass - engine out - Bin 5</t>
  </si>
  <si>
    <t>Active 100-hr:  NOx mass - engine out - Bin 6</t>
  </si>
  <si>
    <t>Active 100-hr:  NOx mass - engine out - Bin 7</t>
  </si>
  <si>
    <t>Active 100-hr:  NOx mass - engine out - Bin 8</t>
  </si>
  <si>
    <t>Active 100-hr:  NOx mass - engine out - Bin 9</t>
  </si>
  <si>
    <t>Active 100-hr:  NOx mass - engine out - Bin 10</t>
  </si>
  <si>
    <t>Active 100-hr:  NOx mass - engine out - Bin 11</t>
  </si>
  <si>
    <t>Active 100-hr:  NOx mass - engine out - Bin 12</t>
  </si>
  <si>
    <t>Active 100-hr:  NOx mass - engine out - Bin 13</t>
  </si>
  <si>
    <t>Active 100-hr:  NOx mass - engine out - Bin 14</t>
  </si>
  <si>
    <t>Active 100-hr:  NOx mass - engine out - Bin 15</t>
  </si>
  <si>
    <t>Active 100-hr:  NOx mass - engine out - Bin 16</t>
  </si>
  <si>
    <t>Active 100-hr:  NOx mass - engine out - Bin 17</t>
  </si>
  <si>
    <t>Active 100-hr:  NOx mass - tailpipe - Bin 1</t>
  </si>
  <si>
    <t>Active 100-hr:  NOx mass - tailpipe - Bin 2</t>
  </si>
  <si>
    <t>Active 100-hr:  NOx mass - tailpipe - Bin 3</t>
  </si>
  <si>
    <t>Active 100-hr:  NOx mass - tailpipe - Bin 4</t>
  </si>
  <si>
    <t>Active 100-hr:  NOx mass - tailpipe - Bin 5</t>
  </si>
  <si>
    <t>Active 100-hr:  NOx mass - tailpipe - Bin 6</t>
  </si>
  <si>
    <t>Active 100-hr:  NOx mass - tailpipe - Bin 7</t>
  </si>
  <si>
    <t>Active 100-hr:  NOx mass - tailpipe - Bin 8</t>
  </si>
  <si>
    <t>Active 100-hr:  NOx mass - tailpipe - Bin 9</t>
  </si>
  <si>
    <t>Active 100-hr:  NOx mass - tailpipe - Bin 10</t>
  </si>
  <si>
    <t>Active 100-hr:  NOx mass - tailpipe - Bin 11</t>
  </si>
  <si>
    <t>Active 100-hr:  NOx mass - tailpipe - Bin 12</t>
  </si>
  <si>
    <t>Active 100-hr:  NOx mass - tailpipe - Bin 13</t>
  </si>
  <si>
    <t>Active 100-hr:  NOx mass - tailpipe - Bin 14</t>
  </si>
  <si>
    <t>Active 100-hr:  NOx mass - tailpipe - Bin 15</t>
  </si>
  <si>
    <t>Active 100-hr:  NOx mass - tailpipe - Bin 16</t>
  </si>
  <si>
    <t>Active 100-hr:  NOx mass - tailpipe - Bin 17</t>
  </si>
  <si>
    <t>Active 100-hr:  Engine output energy - Bin 1</t>
  </si>
  <si>
    <t>kWh</t>
  </si>
  <si>
    <t>Active 100-hr:  Engine output energy - Bin 2</t>
  </si>
  <si>
    <t>Active 100-hr:  Engine output energy - Bin 3</t>
  </si>
  <si>
    <t>Active 100-hr:  Engine output energy - Bin 4</t>
  </si>
  <si>
    <t>Active 100-hr:  Engine output energy - Bin 5</t>
  </si>
  <si>
    <t>Active 100-hr:  Engine output energy - Bin 6</t>
  </si>
  <si>
    <t>Active 100-hr:  Engine output energy - Bin 7</t>
  </si>
  <si>
    <t>Active 100-hr:  Engine output energy - Bin 8</t>
  </si>
  <si>
    <t>Active 100-hr:  Engine output energy - Bin 9</t>
  </si>
  <si>
    <t>Active 100-hr:  Engine output energy - Bin 10</t>
  </si>
  <si>
    <t>Active 100-hr:  Engine output energy - Bin 11</t>
  </si>
  <si>
    <t>Active 100-hr:  Engine output energy - Bin 12</t>
  </si>
  <si>
    <t>Active 100-hr:  Engine output energy - Bin 13</t>
  </si>
  <si>
    <t>Active 100-hr:  Engine output energy - Bin 14</t>
  </si>
  <si>
    <t>Active 100-hr:  Engine output energy - Bin 15</t>
  </si>
  <si>
    <t>Active 100-hr:  Engine output energy - Bin 16</t>
  </si>
  <si>
    <t>Active 100-hr:  Engine output energy - Bin 17</t>
  </si>
  <si>
    <t>Active 100-hr:  Distance traveled - Bin 1</t>
  </si>
  <si>
    <t>km</t>
  </si>
  <si>
    <t>Active 100-hr:  Distance traveled - Bin 2</t>
  </si>
  <si>
    <t>Active 100-hr:  Distance traveled - Bin 3</t>
  </si>
  <si>
    <t>Active 100-hr:  Distance traveled - Bin 4</t>
  </si>
  <si>
    <t>Active 100-hr:  Distance traveled - Bin 5</t>
  </si>
  <si>
    <t>Active 100-hr:  Distance traveled - Bin 6</t>
  </si>
  <si>
    <t>Active 100-hr:  Distance traveled - Bin 7</t>
  </si>
  <si>
    <t>Active 100-hr:  Distance traveled - Bin 8</t>
  </si>
  <si>
    <t>Active 100-hr:  Distance traveled - Bin 9</t>
  </si>
  <si>
    <t>Active 100-hr:  Distance traveled - Bin 10</t>
  </si>
  <si>
    <t>Active 100-hr:  Distance traveled - Bin 11</t>
  </si>
  <si>
    <t>Active 100-hr:  Distance traveled - Bin 12</t>
  </si>
  <si>
    <t>Active 100-hr:  Distance traveled - Bin 13</t>
  </si>
  <si>
    <t>Active 100-hr:  Distance traveled - Bin 14</t>
  </si>
  <si>
    <t>Active 100-hr:  Distance traveled - Bin 15</t>
  </si>
  <si>
    <t>Active 100-hr:  Distance traveled - Bin 16</t>
  </si>
  <si>
    <t>Active 100-hr:  Distance traveled - Bin 17</t>
  </si>
  <si>
    <t>Active 100-hr:  Engine run time - Bin 1</t>
  </si>
  <si>
    <t>hours</t>
  </si>
  <si>
    <t>Active 100-hr:  Engine run time - Bin 2</t>
  </si>
  <si>
    <t>Active 100-hr:  Engine run time - Bin 3</t>
  </si>
  <si>
    <t>Active 100-hr:  Engine run time - Bin 4</t>
  </si>
  <si>
    <t>Active 100-hr:  Engine run time - Bin 5</t>
  </si>
  <si>
    <t>Active 100-hr:  Engine run time - Bin 6</t>
  </si>
  <si>
    <t>Active 100-hr:  Engine run time - Bin 7</t>
  </si>
  <si>
    <t>Active 100-hr:  Engine run time - Bin 8</t>
  </si>
  <si>
    <t>Active 100-hr:  Engine run time - Bin 9</t>
  </si>
  <si>
    <t>Active 100-hr:  Engine run time - Bin 10</t>
  </si>
  <si>
    <t>Active 100-hr:  Engine run time - Bin 11</t>
  </si>
  <si>
    <t>Active 100-hr:  Engine run time - Bin 12</t>
  </si>
  <si>
    <t>Active 100-hr:  Engine run time - Bin 13</t>
  </si>
  <si>
    <t>Active 100-hr:  Engine run time - Bin 14</t>
  </si>
  <si>
    <t>Active 100-hr:  Engine run time - Bin 15</t>
  </si>
  <si>
    <t>Active 100-hr:  Engine run time - Bin 16</t>
  </si>
  <si>
    <t>Active 100-hr:  Engine run time - Bin 17</t>
  </si>
  <si>
    <t>Active 100-hr:  Vehicle fuel consumption - Bin 1</t>
  </si>
  <si>
    <t>liters</t>
  </si>
  <si>
    <t>Active 100-hr:  Vehicle fuel consumption - Bin 2</t>
  </si>
  <si>
    <t>Active 100-hr:  Vehicle fuel consumption - Bin 3</t>
  </si>
  <si>
    <t>Active 100-hr:  Vehicle fuel consumption - Bin 4</t>
  </si>
  <si>
    <t>Active 100-hr:  Vehicle fuel consumption - Bin 5</t>
  </si>
  <si>
    <t>Active 100-hr:  Vehicle fuel consumption - Bin 6</t>
  </si>
  <si>
    <t>Active 100-hr:  Vehicle fuel consumption - Bin 7</t>
  </si>
  <si>
    <t>Active 100-hr:  Vehicle fuel consumption - Bin 8</t>
  </si>
  <si>
    <t>Active 100-hr:  Vehicle fuel consumption - Bin 9</t>
  </si>
  <si>
    <t>Active 100-hr:  Vehicle fuel consumption - Bin 10</t>
  </si>
  <si>
    <t>Active 100-hr:  Vehicle fuel consumption - Bin 11</t>
  </si>
  <si>
    <t>Active 100-hr:  Vehicle fuel consumption - Bin 12</t>
  </si>
  <si>
    <t>Active 100-hr:  Vehicle fuel consumption - Bin 13</t>
  </si>
  <si>
    <t>Active 100-hr:  Vehicle fuel consumption - Bin 14</t>
  </si>
  <si>
    <t>Active 100-hr:  Vehicle fuel consumption - Bin 15</t>
  </si>
  <si>
    <t>Active 100-hr:  Vehicle fuel consumption - Bin 16</t>
  </si>
  <si>
    <t>Active 100-hr:  Vehicle fuel consumption - Bin 17</t>
  </si>
  <si>
    <t>Stored 100-hr:  NOx mass - engine out - Bin 1</t>
  </si>
  <si>
    <t>Stored 100-hr:  NOx mass - engine out - Bin 2</t>
  </si>
  <si>
    <t>Stored 100-hr:  NOx mass - engine out - Bin 3</t>
  </si>
  <si>
    <t>Stored 100-hr:  NOx mass - engine out - Bin 4</t>
  </si>
  <si>
    <t>Stored 100-hr:  NOx mass - engine out - Bin 5</t>
  </si>
  <si>
    <t>Stored 100-hr:  NOx mass - engine out - Bin 6</t>
  </si>
  <si>
    <t>Stored 100-hr:  NOx mass - engine out - Bin 7</t>
  </si>
  <si>
    <t>Stored 100-hr:  NOx mass - engine out - Bin 8</t>
  </si>
  <si>
    <t>Stored 100-hr:  NOx mass - engine out - Bin 9</t>
  </si>
  <si>
    <t>Stored 100-hr:  NOx mass - engine out - Bin 10</t>
  </si>
  <si>
    <t>Stored 100-hr:  NOx mass - engine out - Bin 11</t>
  </si>
  <si>
    <t>Stored 100-hr:  NOx mass - engine out - Bin 12</t>
  </si>
  <si>
    <t>Stored 100-hr:  NOx mass - engine out - Bin 13</t>
  </si>
  <si>
    <t>Stored 100-hr:  NOx mass - engine out - Bin 14</t>
  </si>
  <si>
    <t>Stored 100-hr:  NOx mass - engine out - Bin 15</t>
  </si>
  <si>
    <t>Stored 100-hr:  NOx mass - engine out - Bin 16</t>
  </si>
  <si>
    <t>Stored 100-hr:  NOx mass - engine out - Bin 17</t>
  </si>
  <si>
    <t>Stored 100-hr:  NOx mass - tailpipe - Bin 1</t>
  </si>
  <si>
    <t>Stored 100-hr:  NOx mass - tailpipe - Bin 2</t>
  </si>
  <si>
    <t>Stored 100-hr:  NOx mass - tailpipe - Bin 3</t>
  </si>
  <si>
    <t>Stored 100-hr:  NOx mass - tailpipe - Bin 4</t>
  </si>
  <si>
    <t>Stored 100-hr:  NOx mass - tailpipe - Bin 5</t>
  </si>
  <si>
    <t>Stored 100-hr:  NOx mass - tailpipe - Bin 6</t>
  </si>
  <si>
    <t>Stored 100-hr:  NOx mass - tailpipe - Bin 7</t>
  </si>
  <si>
    <t>Stored 100-hr:  NOx mass - tailpipe - Bin 8</t>
  </si>
  <si>
    <t>Stored 100-hr:  NOx mass - tailpipe - Bin 9</t>
  </si>
  <si>
    <t>Stored 100-hr:  NOx mass - tailpipe - Bin 10</t>
  </si>
  <si>
    <t>Stored 100-hr:  NOx mass - tailpipe - Bin 11</t>
  </si>
  <si>
    <t>Stored 100-hr:  NOx mass - tailpipe - Bin 12</t>
  </si>
  <si>
    <t>Stored 100-hr:  NOx mass - tailpipe - Bin 13</t>
  </si>
  <si>
    <t>Stored 100-hr:  NOx mass - tailpipe - Bin 14</t>
  </si>
  <si>
    <t>Stored 100-hr:  NOx mass - tailpipe - Bin 15</t>
  </si>
  <si>
    <t>Stored 100-hr:  NOx mass - tailpipe - Bin 16</t>
  </si>
  <si>
    <t>Stored 100-hr:  NOx mass - tailpipe - Bin 17</t>
  </si>
  <si>
    <t>Stored 100-hr:  Engine output energy - Bin 1</t>
  </si>
  <si>
    <t>Stored 100-hr:  Engine output energy - Bin 2</t>
  </si>
  <si>
    <t>Stored 100-hr:  Engine output energy - Bin 3</t>
  </si>
  <si>
    <t>Stored 100-hr:  Engine output energy - Bin 4</t>
  </si>
  <si>
    <t>Stored 100-hr:  Engine output energy - Bin 5</t>
  </si>
  <si>
    <t>Stored 100-hr:  Engine output energy - Bin 6</t>
  </si>
  <si>
    <t>Stored 100-hr:  Engine output energy - Bin 7</t>
  </si>
  <si>
    <t>Stored 100-hr:  Engine output energy - Bin 8</t>
  </si>
  <si>
    <t>Stored 100-hr:  Engine output energy - Bin 9</t>
  </si>
  <si>
    <t>Stored 100-hr:  Engine output energy - Bin 10</t>
  </si>
  <si>
    <t>Stored 100-hr:  Engine output energy - Bin 11</t>
  </si>
  <si>
    <t>Stored 100-hr:  Engine output energy - Bin 12</t>
  </si>
  <si>
    <t>Stored 100-hr:  Engine output energy - Bin 13</t>
  </si>
  <si>
    <t>Stored 100-hr:  Engine output energy - Bin 14</t>
  </si>
  <si>
    <t>Stored 100-hr:  Engine output energy - Bin 15</t>
  </si>
  <si>
    <t>Stored 100-hr:  Engine output energy - Bin 16</t>
  </si>
  <si>
    <t>Stored 100-hr:  Engine output energy - Bin 17</t>
  </si>
  <si>
    <t>Stored 100-hr:  Distance traveled - Bin 1</t>
  </si>
  <si>
    <t>Stored 100-hr:  Distance traveled - Bin 2</t>
  </si>
  <si>
    <t>Stored 100-hr:  Distance traveled - Bin 3</t>
  </si>
  <si>
    <t>Stored 100-hr:  Distance traveled - Bin 4</t>
  </si>
  <si>
    <t>Stored 100-hr:  Distance traveled - Bin 5</t>
  </si>
  <si>
    <t>Stored 100-hr:  Distance traveled - Bin 6</t>
  </si>
  <si>
    <t>Stored 100-hr:  Distance traveled - Bin 7</t>
  </si>
  <si>
    <t>Stored 100-hr:  Distance traveled - Bin 8</t>
  </si>
  <si>
    <t>Stored 100-hr:  Distance traveled - Bin 9</t>
  </si>
  <si>
    <t>Stored 100-hr:  Distance traveled - Bin 10</t>
  </si>
  <si>
    <t>Stored 100-hr:  Distance traveled - Bin 11</t>
  </si>
  <si>
    <t>Stored 100-hr:  Distance traveled - Bin 12</t>
  </si>
  <si>
    <t>Stored 100-hr:  Distance traveled - Bin 13</t>
  </si>
  <si>
    <t>Stored 100-hr:  Distance traveled - Bin 14</t>
  </si>
  <si>
    <t>Stored 100-hr:  Distance traveled - Bin 15</t>
  </si>
  <si>
    <t>Stored 100-hr:  Distance traveled - Bin 16</t>
  </si>
  <si>
    <t>Stored 100-hr:  Distance traveled - Bin 17</t>
  </si>
  <si>
    <t>Stored 100-hr:  Engine run time - Bin 1</t>
  </si>
  <si>
    <t>Stored 100-hr:  Engine run time - Bin 2</t>
  </si>
  <si>
    <t>Stored 100-hr:  Engine run time - Bin 3</t>
  </si>
  <si>
    <t>Stored 100-hr:  Engine run time - Bin 4</t>
  </si>
  <si>
    <t>Stored 100-hr:  Engine run time - Bin 5</t>
  </si>
  <si>
    <t>Stored 100-hr:  Engine run time - Bin 6</t>
  </si>
  <si>
    <t>Stored 100-hr:  Engine run time - Bin 7</t>
  </si>
  <si>
    <t>Stored 100-hr:  Engine run time - Bin 8</t>
  </si>
  <si>
    <t>Stored 100-hr:  Engine run time - Bin 9</t>
  </si>
  <si>
    <t>Stored 100-hr:  Engine run time - Bin 10</t>
  </si>
  <si>
    <t>Stored 100-hr:  Engine run time - Bin 11</t>
  </si>
  <si>
    <t>Stored 100-hr:  Engine run time - Bin 12</t>
  </si>
  <si>
    <t>Stored 100-hr:  Engine run time - Bin 13</t>
  </si>
  <si>
    <t>Stored 100-hr:  Engine run time - Bin 14</t>
  </si>
  <si>
    <t>Stored 100-hr:  Engine run time - Bin 15</t>
  </si>
  <si>
    <t>Stored 100-hr:  Engine run time - Bin 16</t>
  </si>
  <si>
    <t>Stored 100-hr:  Engine run time - Bin 17</t>
  </si>
  <si>
    <t>Stored 100-hr:  Vehicle fuel consumption - Bin 1</t>
  </si>
  <si>
    <t>Stored 100-hr:  Vehicle fuel consumption - Bin 2</t>
  </si>
  <si>
    <t>Stored 100-hr:  Vehicle fuel consumption - Bin 3</t>
  </si>
  <si>
    <t>Stored 100-hr:  Vehicle fuel consumption - Bin 4</t>
  </si>
  <si>
    <t>Stored 100-hr:  Vehicle fuel consumption - Bin 5</t>
  </si>
  <si>
    <t>Stored 100-hr:  Vehicle fuel consumption - Bin 6</t>
  </si>
  <si>
    <t>Stored 100-hr:  Vehicle fuel consumption - Bin 7</t>
  </si>
  <si>
    <t>Stored 100-hr:  Vehicle fuel consumption - Bin 8</t>
  </si>
  <si>
    <t>Stored 100-hr:  Vehicle fuel consumption - Bin 9</t>
  </si>
  <si>
    <t>Stored 100-hr:  Vehicle fuel consumption - Bin 10</t>
  </si>
  <si>
    <t>Stored 100-hr:  Vehicle fuel consumption - Bin 11</t>
  </si>
  <si>
    <t>Stored 100-hr:  Vehicle fuel consumption - Bin 12</t>
  </si>
  <si>
    <t>Stored 100-hr:  Vehicle fuel consumption - Bin 13</t>
  </si>
  <si>
    <t>Stored 100-hr:  Vehicle fuel consumption - Bin 14</t>
  </si>
  <si>
    <t>Stored 100-hr:  Vehicle fuel consumption - Bin 15</t>
  </si>
  <si>
    <t>Stored 100-hr:  Vehicle fuel consumption - Bin 16</t>
  </si>
  <si>
    <t>Stored 100-hr:  Vehicle fuel consumption - Bin 17</t>
  </si>
  <si>
    <t>Lifetime:  NOx mass - engine out - Bin 1</t>
  </si>
  <si>
    <t>Lifetime:  NOx mass - engine out - Bin 2</t>
  </si>
  <si>
    <t>Lifetime:  NOx mass - engine out - Bin 3</t>
  </si>
  <si>
    <t>Lifetime:  NOx mass - engine out - Bin 4</t>
  </si>
  <si>
    <t>Lifetime:  NOx mass - engine out - Bin 5</t>
  </si>
  <si>
    <t>Lifetime:  NOx mass - engine out - Bin 6</t>
  </si>
  <si>
    <t>Lifetime:  NOx mass - engine out - Bin 7</t>
  </si>
  <si>
    <t>Lifetime:  NOx mass - engine out - Bin 8</t>
  </si>
  <si>
    <t>Lifetime:  NOx mass - engine out - Bin 9</t>
  </si>
  <si>
    <t>Lifetime:  NOx mass - engine out - Bin 10</t>
  </si>
  <si>
    <t>Lifetime:  NOx mass - engine out - Bin 11</t>
  </si>
  <si>
    <t>Lifetime:  NOx mass - engine out - Bin 12</t>
  </si>
  <si>
    <t>Lifetime:  NOx mass - engine out - Bin 13</t>
  </si>
  <si>
    <t>Lifetime:  NOx mass - engine out - Bin 14</t>
  </si>
  <si>
    <t>Lifetime:  NOx mass - engine out - Bin 15</t>
  </si>
  <si>
    <t>Lifetime:  NOx mass - engine out - Bin 16</t>
  </si>
  <si>
    <t>Lifetime:  NOx mass - engine out - Bin 17</t>
  </si>
  <si>
    <t>Lifetime:  NOx mass - tailpipe - Bin 1</t>
  </si>
  <si>
    <t>Lifetime:  NOx mass - tailpipe - Bin 2</t>
  </si>
  <si>
    <t>Lifetime:  NOx mass - tailpipe - Bin 3</t>
  </si>
  <si>
    <t>Lifetime:  NOx mass - tailpipe - Bin 4</t>
  </si>
  <si>
    <t>Lifetime:  NOx mass - tailpipe - Bin 5</t>
  </si>
  <si>
    <t>Lifetime:  NOx mass - tailpipe - Bin 6</t>
  </si>
  <si>
    <t>Lifetime:  NOx mass - tailpipe - Bin 7</t>
  </si>
  <si>
    <t>Lifetime:  NOx mass - tailpipe - Bin 8</t>
  </si>
  <si>
    <t>Lifetime:  NOx mass - tailpipe - Bin 9</t>
  </si>
  <si>
    <t>Lifetime:  NOx mass - tailpipe - Bin 10</t>
  </si>
  <si>
    <t>Lifetime:  NOx mass - tailpipe - Bin 11</t>
  </si>
  <si>
    <t>Lifetime:  NOx mass - tailpipe - Bin 12</t>
  </si>
  <si>
    <t>Lifetime:  NOx mass - tailpipe - Bin 13</t>
  </si>
  <si>
    <t>Lifetime:  NOx mass - tailpipe - Bin 14</t>
  </si>
  <si>
    <t>Lifetime:  NOx mass - tailpipe - Bin 15</t>
  </si>
  <si>
    <t>Lifetime:  NOx mass - tailpipe - Bin 16</t>
  </si>
  <si>
    <t>Lifetime:  NOx mass - tailpipe - Bin 17</t>
  </si>
  <si>
    <t>Lifetime:  Engine output energy - Bin 1</t>
  </si>
  <si>
    <t>Lifetime:  Engine output energy - Bin 2</t>
  </si>
  <si>
    <t>Lifetime:  Engine output energy - Bin 3</t>
  </si>
  <si>
    <t>Lifetime:  Engine output energy - Bin 4</t>
  </si>
  <si>
    <t>Lifetime:  Engine output energy - Bin 5</t>
  </si>
  <si>
    <t>Lifetime:  Engine output energy - Bin 6</t>
  </si>
  <si>
    <t>Lifetime:  Engine output energy - Bin 7</t>
  </si>
  <si>
    <t>Lifetime:  Engine output energy - Bin 8</t>
  </si>
  <si>
    <t>Lifetime:  Engine output energy - Bin 9</t>
  </si>
  <si>
    <t>Lifetime:  Engine output energy - Bin 10</t>
  </si>
  <si>
    <t>Lifetime:  Engine output energy - Bin 11</t>
  </si>
  <si>
    <t>Lifetime:  Engine output energy - Bin 12</t>
  </si>
  <si>
    <t>Lifetime:  Engine output energy - Bin 13</t>
  </si>
  <si>
    <t>Lifetime:  Engine output energy - Bin 14</t>
  </si>
  <si>
    <t>Lifetime:  Engine output energy - Bin 15</t>
  </si>
  <si>
    <t>Lifetime:  Engine output energy - Bin 16</t>
  </si>
  <si>
    <t>Lifetime:  Engine output energy - Bin 17</t>
  </si>
  <si>
    <t>Lifetime:  Distance traveled - Bin 1</t>
  </si>
  <si>
    <t>Lifetime:  Distance traveled - Bin 2</t>
  </si>
  <si>
    <t>Lifetime:  Distance traveled - Bin 3</t>
  </si>
  <si>
    <t>Lifetime:  Distance traveled - Bin 4</t>
  </si>
  <si>
    <t>Lifetime:  Distance traveled - Bin 5</t>
  </si>
  <si>
    <t>Lifetime:  Distance traveled - Bin 6</t>
  </si>
  <si>
    <t>Lifetime:  Distance traveled - Bin 7</t>
  </si>
  <si>
    <t>Lifetime:  Distance traveled - Bin 8</t>
  </si>
  <si>
    <t>Lifetime:  Distance traveled - Bin 9</t>
  </si>
  <si>
    <t>Lifetime:  Distance traveled - Bin 10</t>
  </si>
  <si>
    <t>Lifetime:  Distance traveled - Bin 11</t>
  </si>
  <si>
    <t>Lifetime:  Distance traveled - Bin 12</t>
  </si>
  <si>
    <t>Lifetime:  Distance traveled - Bin 13</t>
  </si>
  <si>
    <t>Lifetime:  Distance traveled - Bin 14</t>
  </si>
  <si>
    <t>Lifetime:  Distance traveled - Bin 15</t>
  </si>
  <si>
    <t>Lifetime:  Distance traveled - Bin 16</t>
  </si>
  <si>
    <t>Lifetime:  Distance traveled - Bin 17</t>
  </si>
  <si>
    <t>Lifetime:  Engine run time - Bin 1</t>
  </si>
  <si>
    <t>Lifetime:  Engine run time - Bin 2</t>
  </si>
  <si>
    <t>Lifetime:  Engine run time - Bin 3</t>
  </si>
  <si>
    <t>Lifetime:  Engine run time - Bin 4</t>
  </si>
  <si>
    <t>Lifetime:  Engine run time - Bin 5</t>
  </si>
  <si>
    <t>Lifetime:  Engine run time - Bin 6</t>
  </si>
  <si>
    <t>Lifetime:  Engine run time - Bin 7</t>
  </si>
  <si>
    <t>Lifetime:  Engine run time - Bin 8</t>
  </si>
  <si>
    <t>Lifetime:  Engine run time - Bin 9</t>
  </si>
  <si>
    <t>Lifetime:  Engine run time - Bin 10</t>
  </si>
  <si>
    <t>Lifetime:  Engine run time - Bin 11</t>
  </si>
  <si>
    <t>Lifetime:  Engine run time - Bin 12</t>
  </si>
  <si>
    <t>Lifetime:  Engine run time - Bin 13</t>
  </si>
  <si>
    <t>Lifetime:  Engine run time - Bin 14</t>
  </si>
  <si>
    <t>Lifetime:  Engine run time - Bin 15</t>
  </si>
  <si>
    <t>Lifetime:  Engine run time - Bin 16</t>
  </si>
  <si>
    <t>Lifetime:  Engine run time - Bin 17</t>
  </si>
  <si>
    <t>Lifetime:  Vehicle fuel consumption - Bin 1</t>
  </si>
  <si>
    <t>Lifetime:  Vehicle fuel consumption - Bin 2</t>
  </si>
  <si>
    <t>Lifetime:  Vehicle fuel consumption - Bin 3</t>
  </si>
  <si>
    <t>Lifetime:  Vehicle fuel consumption - Bin 4</t>
  </si>
  <si>
    <t>Lifetime:  Vehicle fuel consumption - Bin 5</t>
  </si>
  <si>
    <t>Lifetime:  Vehicle fuel consumption - Bin 6</t>
  </si>
  <si>
    <t>Lifetime:  Vehicle fuel consumption - Bin 7</t>
  </si>
  <si>
    <t>Lifetime:  Vehicle fuel consumption - Bin 8</t>
  </si>
  <si>
    <t>Lifetime:  Vehicle fuel consumption - Bin 9</t>
  </si>
  <si>
    <t>Lifetime:  Vehicle fuel consumption - Bin 10</t>
  </si>
  <si>
    <t>Lifetime:  Vehicle fuel consumption - Bin 11</t>
  </si>
  <si>
    <t>Lifetime:  Vehicle fuel consumption - Bin 12</t>
  </si>
  <si>
    <t>Lifetime:  Vehicle fuel consumption - Bin 13</t>
  </si>
  <si>
    <t>Lifetime:  Vehicle fuel consumption - Bin 14</t>
  </si>
  <si>
    <t>Lifetime:  Vehicle fuel consumption - Bin 15</t>
  </si>
  <si>
    <t>Lifetime:  Vehicle fuel consumption - Bin 16</t>
  </si>
  <si>
    <t>Lifetime:  Vehicle fuel consumption - Bin 17</t>
  </si>
  <si>
    <t>Lifetime engine activity:  Engine output energy - Bin 1</t>
  </si>
  <si>
    <t>Lifetime engine activity:  Engine output energy - Bin 2</t>
  </si>
  <si>
    <t>Lifetime engine activity:  Engine output energy - Bin 3</t>
  </si>
  <si>
    <t>Lifetime engine activity:  Engine output energy - Bin 4</t>
  </si>
  <si>
    <t>Lifetime engine activity:  Engine output energy - Bin 5</t>
  </si>
  <si>
    <t>Lifetime engine activity:  Engine output energy - Bin 6</t>
  </si>
  <si>
    <t>Lifetime engine activity:  Engine output energy - Bin 7</t>
  </si>
  <si>
    <t>Lifetime engine activity:  Engine output energy - Bin 8</t>
  </si>
  <si>
    <t>Lifetime engine activity:  Engine output energy - Bin 9</t>
  </si>
  <si>
    <t>Lifetime engine activity:  Engine output energy - Bin 10</t>
  </si>
  <si>
    <t>Lifetime engine activity:  Engine output energy - Bin 11</t>
  </si>
  <si>
    <t>Lifetime engine activity:  Engine output energy - Bin 12</t>
  </si>
  <si>
    <t>Lifetime engine activity:  Engine output energy - Bin 13</t>
  </si>
  <si>
    <t>Lifetime engine activity:  Engine output energy - Bin 14</t>
  </si>
  <si>
    <t>Lifetime engine activity:  Engine output energy - Bin 15</t>
  </si>
  <si>
    <t>Lifetime engine activity:  Engine output energy - Bin 16</t>
  </si>
  <si>
    <t>Lifetime engine activity:  Engine output energy - Bin 17</t>
  </si>
  <si>
    <t>Lifetime engine activity:  Distance traveled - Bin 1</t>
  </si>
  <si>
    <t>Lifetime engine activity:  Distance traveled - Bin 2</t>
  </si>
  <si>
    <t>Lifetime engine activity:  Distance traveled - Bin 3</t>
  </si>
  <si>
    <t>Lifetime engine activity:  Distance traveled - Bin 4</t>
  </si>
  <si>
    <t>Lifetime engine activity:  Distance traveled - Bin 5</t>
  </si>
  <si>
    <t>Lifetime engine activity:  Distance traveled - Bin 6</t>
  </si>
  <si>
    <t>Lifetime engine activity:  Distance traveled - Bin 7</t>
  </si>
  <si>
    <t>Lifetime engine activity:  Distance traveled - Bin 8</t>
  </si>
  <si>
    <t>Lifetime engine activity:  Distance traveled - Bin 9</t>
  </si>
  <si>
    <t>Lifetime engine activity:  Distance traveled - Bin 10</t>
  </si>
  <si>
    <t>Lifetime engine activity:  Distance traveled - Bin 11</t>
  </si>
  <si>
    <t>Lifetime engine activity:  Distance traveled - Bin 12</t>
  </si>
  <si>
    <t>Lifetime engine activity:  Distance traveled - Bin 13</t>
  </si>
  <si>
    <t>Lifetime engine activity:  Distance traveled - Bin 14</t>
  </si>
  <si>
    <t>Lifetime engine activity:  Distance traveled - Bin 15</t>
  </si>
  <si>
    <t>Lifetime engine activity:  Distance traveled - Bin 16</t>
  </si>
  <si>
    <t>Lifetime engine activity:  Distance traveled - Bin 17</t>
  </si>
  <si>
    <t>Lifetime engine activity:  Engine run time - Bin 1</t>
  </si>
  <si>
    <t>Lifetime engine activity:  Engine run time - Bin 2</t>
  </si>
  <si>
    <t>Lifetime engine activity:  Engine run time - Bin 3</t>
  </si>
  <si>
    <t>Lifetime engine activity:  Engine run time - Bin 4</t>
  </si>
  <si>
    <t>Lifetime engine activity:  Engine run time - Bin 5</t>
  </si>
  <si>
    <t>Lifetime engine activity:  Engine run time - Bin 6</t>
  </si>
  <si>
    <t>Lifetime engine activity:  Engine run time - Bin 7</t>
  </si>
  <si>
    <t>Lifetime engine activity:  Engine run time - Bin 8</t>
  </si>
  <si>
    <t>Lifetime engine activity:  Engine run time - Bin 9</t>
  </si>
  <si>
    <t>Lifetime engine activity:  Engine run time - Bin 10</t>
  </si>
  <si>
    <t>Lifetime engine activity:  Engine run time - Bin 11</t>
  </si>
  <si>
    <t>Lifetime engine activity:  Engine run time - Bin 12</t>
  </si>
  <si>
    <t>Lifetime engine activity:  Engine run time - Bin 13</t>
  </si>
  <si>
    <t>Lifetime engine activity:  Engine run time - Bin 14</t>
  </si>
  <si>
    <t>Lifetime engine activity:  Engine run time - Bin 15</t>
  </si>
  <si>
    <t>Lifetime engine activity:  Engine run time - Bin 16</t>
  </si>
  <si>
    <t>Lifetime engine activity:  Engine run time - Bin 17</t>
  </si>
  <si>
    <t>Lifetime engine activity:  Vehicle fuel consumption - Bin 1</t>
  </si>
  <si>
    <t>Lifetime engine activity:  Vehicle fuel consumption - Bin 2</t>
  </si>
  <si>
    <t>Lifetime engine activity:  Vehicle fuel consumption - Bin 3</t>
  </si>
  <si>
    <t>Lifetime engine activity:  Vehicle fuel consumption - Bin 4</t>
  </si>
  <si>
    <t>Lifetime engine activity:  Vehicle fuel consumption - Bin 5</t>
  </si>
  <si>
    <t>Lifetime engine activity:  Vehicle fuel consumption - Bin 6</t>
  </si>
  <si>
    <t>Lifetime engine activity:  Vehicle fuel consumption - Bin 7</t>
  </si>
  <si>
    <t>Lifetime engine activity:  Vehicle fuel consumption - Bin 8</t>
  </si>
  <si>
    <t>Lifetime engine activity:  Vehicle fuel consumption - Bin 9</t>
  </si>
  <si>
    <t>Lifetime engine activity:  Vehicle fuel consumption - Bin 10</t>
  </si>
  <si>
    <t>Lifetime engine activity:  Vehicle fuel consumption - Bin 11</t>
  </si>
  <si>
    <t>Lifetime engine activity:  Vehicle fuel consumption - Bin 12</t>
  </si>
  <si>
    <t>Lifetime engine activity:  Vehicle fuel consumption - Bin 13</t>
  </si>
  <si>
    <t>Lifetime engine activity:  Vehicle fuel consumption - Bin 14</t>
  </si>
  <si>
    <t>Lifetime engine activity:  Vehicle fuel consumption - Bin 15</t>
  </si>
  <si>
    <t>Lifetime engine activity:  Vehicle fuel consumption - Bin 16</t>
  </si>
  <si>
    <t>Lifetime engine activity:  Vehicle fuel consumption - Bin 17</t>
  </si>
  <si>
    <t>REAL GHG Tracking Data</t>
  </si>
  <si>
    <t>Recent Operation: Total engine run time</t>
  </si>
  <si>
    <t>seconds</t>
  </si>
  <si>
    <t>Recent Operation: Total engine idle run time</t>
  </si>
  <si>
    <t>Recent Operation: Total distance traveled</t>
  </si>
  <si>
    <t xml:space="preserve">Recent Operation: Total fuel consumed </t>
  </si>
  <si>
    <t xml:space="preserve">Recent Operation: Total positive kinetic energy </t>
  </si>
  <si>
    <t>km²/h²</t>
  </si>
  <si>
    <t>Recent Operation: Total engine output energy</t>
  </si>
  <si>
    <t>Recent Operation: Total propulsion system active time</t>
  </si>
  <si>
    <t>Recent Operation: Total idle propulsion system active time</t>
  </si>
  <si>
    <t>Recent Operation: Total city propulsion system active time</t>
  </si>
  <si>
    <t>Lifetime: Total engine run time</t>
  </si>
  <si>
    <t>Lifetime: Total engine idle run time</t>
  </si>
  <si>
    <t>Lifetime: Total distance traveled</t>
  </si>
  <si>
    <t xml:space="preserve">Lifetime: Total fuel consumed </t>
  </si>
  <si>
    <t xml:space="preserve">Lifetime: Total positive kinetic energy </t>
  </si>
  <si>
    <t>Lifetime: Total engine output energy</t>
  </si>
  <si>
    <t>Lifetime: Total propulsion system active time</t>
  </si>
  <si>
    <t>Lifetime: Total idle propulsion system active time</t>
  </si>
  <si>
    <t>Lifetime: Total city propulsion system active time</t>
  </si>
  <si>
    <t>REAL GHG Tracking Data: Plug-In Hybrid Vehicles</t>
  </si>
  <si>
    <t>Recent Operation: Total distance traveled in charge depleting operation with engine off</t>
  </si>
  <si>
    <t>Recent Operation: Total distance traveled in charge depleting operation with engine running</t>
  </si>
  <si>
    <t>Recent Operation: Total distance traveled in driver-selectable charge increasing operation</t>
  </si>
  <si>
    <t>Recent Operation: Total fuel consumed in charge depleting operation</t>
  </si>
  <si>
    <t>Recent Operation: Total fuel consumed in driver-selectable charge increasing operation</t>
  </si>
  <si>
    <t>Recent Operation: Total grid energy consumed in charge depleting operation with engine off</t>
  </si>
  <si>
    <t>Recent Operation: Total grid energy consumed in charge depleting operation with engine running</t>
  </si>
  <si>
    <t>Recent Operation: Total grid energy into the battery</t>
  </si>
  <si>
    <t>Lifetime: Total distance traveled in charge depleting operation with engine off</t>
  </si>
  <si>
    <t>Lifetime: Total distance traveled in charge depleting operation with engine running</t>
  </si>
  <si>
    <t>Lifetime: Total distance traveled in driver-selectable charge increasing operation</t>
  </si>
  <si>
    <t>Lifetime: Total fuel consumed in charge depleting operation</t>
  </si>
  <si>
    <t>Lifetime: Total fuel consumed in driver-selectable charge increasing operation</t>
  </si>
  <si>
    <t>Lifetime: Total grid energy consumed in charge depleting operation with engine off</t>
  </si>
  <si>
    <t>Lifetime: Total grid energy consumed in charge depleting operation with engine running</t>
  </si>
  <si>
    <t>Lifetime: Total grid energy into the battery</t>
  </si>
  <si>
    <t>REAL GHG Tracking Data: If So Equipped</t>
  </si>
  <si>
    <t>Active Aerodynamic Features #1 Off-cycle Credit Vehicle Data</t>
  </si>
  <si>
    <t xml:space="preserve">Recent Operation: Active Grille Air Shutter "A" Timer 1 </t>
  </si>
  <si>
    <t>Recent Operation: Active Grille Air Shutter "A" Timer 2</t>
  </si>
  <si>
    <t>Recent Operation: Active Grille Air Shutter "B" Timer 1</t>
  </si>
  <si>
    <t>Recent Operation: Active Grille Air Shutter "B" Timer 2</t>
  </si>
  <si>
    <t xml:space="preserve">Lifetime: Active Grille Air Shutter "A" Timer 1 </t>
  </si>
  <si>
    <t>Lifetime: Active Grille Air Shutter "A" Timer 2</t>
  </si>
  <si>
    <t>Lifetime: Active Grille Air Shutter "B" Timer 1</t>
  </si>
  <si>
    <t>Lifetime: Active Grille Air Shutter "B" Timer 2</t>
  </si>
  <si>
    <t>Active Aerodynamic Features #2 Off-cycle Credit Vehicle Data</t>
  </si>
  <si>
    <t>Recent Operation: Vehicle Ride Height Control Timer 1</t>
  </si>
  <si>
    <t>Recent Operation: Vehicle Ride Height Control Timer 2</t>
  </si>
  <si>
    <t xml:space="preserve">Lifetime: Vehicle Ride Height Control Timer 1 </t>
  </si>
  <si>
    <t>Lifetime: Vehicle Ride Height Control Timer 2</t>
  </si>
  <si>
    <t>Active Aerodynamic Features #3 Off-cycle Credit Vehicle Data</t>
  </si>
  <si>
    <t>Recent Operation: Active Aerodynamic Feature #1 Timer 1</t>
  </si>
  <si>
    <t>Recent Operation: Active Aerodynamic Feature #1 Timer 2</t>
  </si>
  <si>
    <t>Recent Operation: Active Aerodynamic Feature #2 Timer 1</t>
  </si>
  <si>
    <t>Recent Operation: Active Aerodynamic Feature #2 Timer 2</t>
  </si>
  <si>
    <t>Lifetime: Active Aerodynamic Feature #1 Timer 1</t>
  </si>
  <si>
    <t>Lifetime: Active Aerodynamic Feature #1 Timer 2</t>
  </si>
  <si>
    <t>Lifetime: Active Aerodynamic Feature #2 Timer 1</t>
  </si>
  <si>
    <t>Lifetime: Active Aerodynamic Feature #2 Timer 2</t>
  </si>
  <si>
    <t>Driver-Selectable Operating Modes Off-cycle Credit Vehicle Data</t>
  </si>
  <si>
    <t>Recent Operation:  "Eco" Driver-Selectable Mode Timer</t>
  </si>
  <si>
    <t>Recent Operation: Driver-Selectable Mode Timer 1</t>
  </si>
  <si>
    <t>Recent Operation: Driver-Selectable Mode Timer 2</t>
  </si>
  <si>
    <t>Recent Operation: Driver-Selectable Mode Timer 3</t>
  </si>
  <si>
    <t>Recent Operation: Driver-Selectable Mode Timer 4</t>
  </si>
  <si>
    <t>Lifetime:  "Eco" Driver-Selectable Mode Timer</t>
  </si>
  <si>
    <t>Lifetime: Driver-Selectable Mode Timer 1</t>
  </si>
  <si>
    <t>Lifetime: Driver-Selectable Mode Timer 2</t>
  </si>
  <si>
    <t>Lifetime: Driver-Selectable Mode Timer 3</t>
  </si>
  <si>
    <t>Lifetime: Driver-Selectable Mode Timer 4</t>
  </si>
  <si>
    <t>Run Time for Stop-Start and Coasting Off-cycle Credit Vehicle Data</t>
  </si>
  <si>
    <t>Recent Operation: Idle Stop-Start Timer</t>
  </si>
  <si>
    <t>Recent Operation: Engine Running Coasting Timer</t>
  </si>
  <si>
    <t>Recent Operation: Engine Off Coasting Timer</t>
  </si>
  <si>
    <t>Lifetime: Idle Stop-Start Timer</t>
  </si>
  <si>
    <t>Lifetime: Engine Running Coasting Timer</t>
  </si>
  <si>
    <t>Lifetime: Engine Off Coasting Timer</t>
  </si>
  <si>
    <t>Driver Coaching Technology Off-cycle Credit Vehicle Data</t>
  </si>
  <si>
    <t>Recent Operation: Driver Coaching Technology 1 Enabled Counter</t>
  </si>
  <si>
    <t>Recent Operation: Driver Coaching Technology 1 Utilized Counter</t>
  </si>
  <si>
    <t xml:space="preserve">Recent Operation: Driver Coaching Technology 2 Enabled Counter </t>
  </si>
  <si>
    <t xml:space="preserve">Recent Operation: Driver Coaching Technology 2 Utilized Counter </t>
  </si>
  <si>
    <t>Recent Operation: Driver Coaching Technology 3 Enabled Counter</t>
  </si>
  <si>
    <t>Recent Operation: Driver Coaching Technology 3 Utilized Counter</t>
  </si>
  <si>
    <t>Lifetime: Driver Coaching Technology 1 Enabled Counter</t>
  </si>
  <si>
    <t>Lifetime: Driver Coaching Technology 1 Utilized Counter</t>
  </si>
  <si>
    <t xml:space="preserve">Lifetime: Driver Coaching Technology 2 Enabled Counter </t>
  </si>
  <si>
    <t xml:space="preserve">Lifetime: Driver Coaching Technology 2 Utilized Counter </t>
  </si>
  <si>
    <t>Lifetime: Driver Coaching Technology 3 Enabled Counter</t>
  </si>
  <si>
    <t>Lifetime: Driver Coaching Technology 3 Utilized Counter</t>
  </si>
  <si>
    <t>Active Powertrain Warm-up Features Off-cycle Credit Vehicle Data</t>
  </si>
  <si>
    <t>Recent Operation: Active Engine Warm-up Timer</t>
  </si>
  <si>
    <t>Recent Operation: Active Transmission Warm-up Timer</t>
  </si>
  <si>
    <t>Lifetime: Active Engine Warm-up Timer</t>
  </si>
  <si>
    <t>Lifetime: Active Transmission Warm-up Timer</t>
  </si>
  <si>
    <t>Off-cycle Credit Technology #1 Vehicle Data</t>
  </si>
  <si>
    <t>Recent Operation: Active Off-Cycle Credit Technology #1 Timer 1</t>
  </si>
  <si>
    <t>Recent Operation: Active Off-Cycle Credit Technology #1 Timer 2</t>
  </si>
  <si>
    <t>Lifetime: Active Off-Cycle Credit Technology #1 Timer 1</t>
  </si>
  <si>
    <t>Lifetime: Active Off-Cycle Credit Technology #1 Timer 2</t>
  </si>
  <si>
    <t>Off-cycle Credit Technology #2 Vehicle Data</t>
  </si>
  <si>
    <t>Recent Operation: Active Off-Cycle Credit Technology #2 Timer 1</t>
  </si>
  <si>
    <t>Recent Operation: Active Off-Cycle Credit Technology #2 Timer 2</t>
  </si>
  <si>
    <t>Lifetime: Active Off-Cycle Credit Technology #2 Timer 1</t>
  </si>
  <si>
    <t>Lifetime: Active Off-Cycle Credit Technology #2 Timer 2</t>
  </si>
  <si>
    <t>Off-cycle Credit Technology #3 Vehicle Data</t>
  </si>
  <si>
    <t>Recent Operation: Active Off-Cycle Credit Technology #3 Timer 1</t>
  </si>
  <si>
    <t>Recent Operation: Active Off-Cycle Credit Technology #3 Timer 2</t>
  </si>
  <si>
    <t>Lifetime: Active Off-Cycle Credit Technology #3 Timer 1</t>
  </si>
  <si>
    <t>Lifetime: Active Off-Cycle Credit Technology #3 Timer 2</t>
  </si>
  <si>
    <t>Off-cycle Credit Technology #4 Vehicle Data</t>
  </si>
  <si>
    <t>Recent Operation: Active Off-Cycle Credit Technology #4 Timer 1</t>
  </si>
  <si>
    <t>Recent Operation: Active Off-Cycle Credit Technology #4 Timer 2</t>
  </si>
  <si>
    <t>Lifetime: Active Off-Cycle Credit Technology #4 Timer 1</t>
  </si>
  <si>
    <t>Lifetime: Active Off-Cycle Credit Technology #4 Timer 2</t>
  </si>
  <si>
    <t>Off-cycle Credit Technology #5 Vehicle Data</t>
  </si>
  <si>
    <t>Recent Operation: Active Off-Cycle Credit Technology #5 Timer 1</t>
  </si>
  <si>
    <t>Recent Operation: Active Off-Cycle Credit Technology #5 Timer 2</t>
  </si>
  <si>
    <t>Lifetime: Active Off-Cycle Credit Technology #5 Timer 1</t>
  </si>
  <si>
    <t>Lifetime: Active Off-Cycle Credit Technology #5 Timer 2</t>
  </si>
  <si>
    <t>OBD Snapshot Data</t>
  </si>
  <si>
    <t>---</t>
  </si>
  <si>
    <t>CAL ID &amp; CVN Data</t>
  </si>
  <si>
    <t>CAL ID #1</t>
  </si>
  <si>
    <t>CVN #1</t>
  </si>
  <si>
    <t>CAL ID #n</t>
  </si>
  <si>
    <t>CVN #n</t>
  </si>
  <si>
    <t>Fault Codes</t>
  </si>
  <si>
    <t>Pending DTC #1</t>
  </si>
  <si>
    <t>Pending DTC #1 Description</t>
  </si>
  <si>
    <t>Pending DTC #n</t>
  </si>
  <si>
    <t>Pending DTC #n Description</t>
  </si>
  <si>
    <t>Confirmed DTC #1</t>
  </si>
  <si>
    <t>Confirmed DTC #1 Description</t>
  </si>
  <si>
    <t>Confirmed DTC #n</t>
  </si>
  <si>
    <t>Confirmed DTC #n Description</t>
  </si>
  <si>
    <t>Permanent DTC #1</t>
  </si>
  <si>
    <t>Permanent DTC #1 Description</t>
  </si>
  <si>
    <t>Permanent DTC #n</t>
  </si>
  <si>
    <t>Permanent DTC #n Description</t>
  </si>
  <si>
    <t>Readiness Status Since DTCs Cleared</t>
  </si>
  <si>
    <t>CCM (Supported / Not Supported)</t>
  </si>
  <si>
    <t>CCM (Complete / Not Complete)</t>
  </si>
  <si>
    <t>Fuel System (Supported / Not Supported)</t>
  </si>
  <si>
    <t>Fuel System (Complete / Not Complete)</t>
  </si>
  <si>
    <t>Misfire (Supported / Not Supported)</t>
  </si>
  <si>
    <t>Misfire (Complete / Not Complete)</t>
  </si>
  <si>
    <t>EGR (Supported / Not Supported) (SAE J1979-2 only)</t>
  </si>
  <si>
    <t>EGR (Complete / Not Complete) (SAE J1979-2 only)</t>
  </si>
  <si>
    <t>VVT (Supported / Not Supported) (SAE J1979-2 only)</t>
  </si>
  <si>
    <t>VVT (Complete / Not Complete) (SAE J1979-2 only)</t>
  </si>
  <si>
    <t>EGR/VVT (Supported / Not Supported) (SAE J1979 only)</t>
  </si>
  <si>
    <t>Exhaust Gas Sensor Heater (Supported / Not Supported)</t>
  </si>
  <si>
    <t>Exhaust Gas Sensor Heater (Complete / Not Complete)</t>
  </si>
  <si>
    <t>Exhaust Gas Sensor (Supported / Not Supported)</t>
  </si>
  <si>
    <t>Exhaust Gas Sensor (Complete / Not Complete)</t>
  </si>
  <si>
    <t>Secondary Air (Supported / Not Supported)</t>
  </si>
  <si>
    <t>Secondary Air (Complete / Not Complete)</t>
  </si>
  <si>
    <t>Evaporative System (Supported / Not Supported)</t>
  </si>
  <si>
    <t>Evaporative System (Complete / Not Complete)</t>
  </si>
  <si>
    <t>Heated Catalyst (Supported / Not Supported)</t>
  </si>
  <si>
    <t>Heated Catalyst (Complete / Not Complete)</t>
  </si>
  <si>
    <t>Catalyst (Supported / Not Supported)</t>
  </si>
  <si>
    <t>Catalyst (Complete / Not Complete)</t>
  </si>
  <si>
    <t>NMHC Converting Catalyst (Supported / Not Supported)</t>
  </si>
  <si>
    <t>NMHC Converting Catalyst (Complete / Not Complete)</t>
  </si>
  <si>
    <t>NOx Converting Catalyst (Supported / Not Supported)</t>
  </si>
  <si>
    <t>NOx Converting Catalyst (Complete / Not Complete)</t>
  </si>
  <si>
    <t>NOx Adsorber (Supported / Not Supported)</t>
  </si>
  <si>
    <t>NOx Adsorber (Complete / Not Complete)</t>
  </si>
  <si>
    <t>PM Filter (Supported / Not Supported)</t>
  </si>
  <si>
    <t>PM Filter (Complete / Not Complete)</t>
  </si>
  <si>
    <t>Boost Pressure (Supported / Not Supported)</t>
  </si>
  <si>
    <t>Boost Pressure (Complete / Not Complete)</t>
  </si>
  <si>
    <t>Readiness Status Current Driving Cycle</t>
  </si>
  <si>
    <t>Data Stream Parameters</t>
  </si>
  <si>
    <t>PID</t>
  </si>
  <si>
    <t>Parameter #1 description</t>
  </si>
  <si>
    <t>Parameter #n description</t>
  </si>
  <si>
    <t>Test Results</t>
  </si>
  <si>
    <t>OBDMID TID</t>
  </si>
  <si>
    <t>Diagnostic #1 description - Minimum</t>
  </si>
  <si>
    <t>Diagnostic #1 description - Test result</t>
  </si>
  <si>
    <t>Diagnostic #1 description - Maximum</t>
  </si>
  <si>
    <t>Diagnostic #n description - Minimum</t>
  </si>
  <si>
    <t>Diagnostic #n description - Test result</t>
  </si>
  <si>
    <t>Diagnostic #n description - Maximum</t>
  </si>
  <si>
    <t>Tracking Parameters</t>
  </si>
  <si>
    <t>Total engine run time</t>
  </si>
  <si>
    <t>Total idle run time</t>
  </si>
  <si>
    <t>Total run time with PTO active</t>
  </si>
  <si>
    <t>EI-AECD #1, Timer 1</t>
  </si>
  <si>
    <t>EI-AECD #1, Timer 2</t>
  </si>
  <si>
    <t>EI-AECD #n, Timer 1</t>
  </si>
  <si>
    <t>EI-AECD #n, Timer 2</t>
  </si>
  <si>
    <t xml:space="preserve">Total run time with no delivery of reductant </t>
  </si>
  <si>
    <t xml:space="preserve">Total run time with exhaust temperature below 200 degC </t>
  </si>
  <si>
    <t xml:space="preserve">Odometer readings before/after last 3 regens </t>
  </si>
  <si>
    <t xml:space="preserve">Lifetime counter of PM filter regeneration events </t>
  </si>
  <si>
    <t>Freeze Frame Data</t>
  </si>
  <si>
    <t>Freeze frame #1 DTC</t>
  </si>
  <si>
    <t>Parameter #j description</t>
  </si>
  <si>
    <t>Freeze frame #n DTC</t>
  </si>
  <si>
    <t>Diesel CSERS Tracking Data</t>
  </si>
  <si>
    <t>Diesel CSERS Trackers (Current Driving Cycle Data)</t>
  </si>
  <si>
    <t>Heat energy release tracker #1</t>
  </si>
  <si>
    <t>kiloJoules</t>
  </si>
  <si>
    <t>Heat energy release tracker #2</t>
  </si>
  <si>
    <t>Heat energy release tracker #3</t>
  </si>
  <si>
    <t>Engine output energy tracker #1</t>
  </si>
  <si>
    <t>Engine output energy tracker #2</t>
  </si>
  <si>
    <t>EGR mass flow tracker # 1</t>
  </si>
  <si>
    <t>kilograms</t>
  </si>
  <si>
    <t>EGR mass flow tracker # 2</t>
  </si>
  <si>
    <t>EGR mass flow tracker # 3</t>
  </si>
  <si>
    <t>Timer #1 (engine energy output accumulated time)</t>
  </si>
  <si>
    <t>Timer #2 (catalyst cold start tracking accumulated time)</t>
  </si>
  <si>
    <t>Diesel CSERS Trackers (Historical EWMA Data)</t>
  </si>
  <si>
    <r>
      <t xml:space="preserve">Active 100-hr:  NOx mass - engine out - Bins 1 through 17: </t>
    </r>
    <r>
      <rPr>
        <sz val="12"/>
        <color theme="1"/>
        <rFont val="Arial"/>
        <family val="2"/>
      </rPr>
      <t>Report the "NOx mass - engine out" value from the Active 100-hour array for the specified Bin in grams.</t>
    </r>
  </si>
  <si>
    <r>
      <t xml:space="preserve">Active 100-hr:  NOx mass - tailpipe - Bins 1 through 17: </t>
    </r>
    <r>
      <rPr>
        <sz val="12"/>
        <color theme="1"/>
        <rFont val="Arial"/>
        <family val="2"/>
      </rPr>
      <t>Report the "NOx mass - tailpipe" value from the Active 100-hour array for the specified Bin in grams</t>
    </r>
    <r>
      <rPr>
        <b/>
        <sz val="12"/>
        <color theme="1"/>
        <rFont val="Arial"/>
        <family val="2"/>
      </rPr>
      <t>.</t>
    </r>
  </si>
  <si>
    <r>
      <t xml:space="preserve">Active 100-hr:  Engine output energy - Bins 1 through 17: </t>
    </r>
    <r>
      <rPr>
        <sz val="12"/>
        <color theme="1"/>
        <rFont val="Arial"/>
        <family val="2"/>
      </rPr>
      <t>Report the "engine output energy" value from the Active 100-hour array for the specified Bin in kilowatt hours.</t>
    </r>
  </si>
  <si>
    <r>
      <t xml:space="preserve">Active 100-hr:  Distance traveled - Bins 1 through 17: </t>
    </r>
    <r>
      <rPr>
        <sz val="12"/>
        <color theme="1"/>
        <rFont val="Arial"/>
        <family val="2"/>
      </rPr>
      <t>Report the "distance traveled" value from the Active 100-hour array for the specified Bin in kilometers.</t>
    </r>
  </si>
  <si>
    <r>
      <t xml:space="preserve">Active 100-hr:  Engine run time - Bins 1 through 17: </t>
    </r>
    <r>
      <rPr>
        <sz val="12"/>
        <color theme="1"/>
        <rFont val="Arial"/>
        <family val="2"/>
      </rPr>
      <t>Report the "engine run time" value from the Active 100-hour array for the specified Bin in hours.</t>
    </r>
  </si>
  <si>
    <r>
      <t xml:space="preserve">Active 100-hr:  Vehicle fuel consumption - Bins 1 through 17: </t>
    </r>
    <r>
      <rPr>
        <sz val="12"/>
        <color theme="1"/>
        <rFont val="Arial"/>
        <family val="2"/>
      </rPr>
      <t>Report the "vehicle fuel consumption" value from the Active 100-hour array for the specified Bin in liters.</t>
    </r>
  </si>
  <si>
    <r>
      <t xml:space="preserve">Stored 100-hr:  NOx mass - engine out - Bins 1 through 17: </t>
    </r>
    <r>
      <rPr>
        <sz val="12"/>
        <color theme="1"/>
        <rFont val="Arial"/>
        <family val="2"/>
      </rPr>
      <t>Report the "NOx mass - engine out" value from the Stored 100-hour array for the specified Bin in grams.</t>
    </r>
  </si>
  <si>
    <r>
      <t xml:space="preserve">Stored 100-hr:  NOx mass - tailpipe - Bins 1 through 17: </t>
    </r>
    <r>
      <rPr>
        <sz val="12"/>
        <color theme="1"/>
        <rFont val="Arial"/>
        <family val="2"/>
      </rPr>
      <t>Report the "NOx mass - tailpipe" value from the Stored 100-hour array for the specified Bin in grams.</t>
    </r>
  </si>
  <si>
    <r>
      <t xml:space="preserve">Stored 100-hr:  Engine output energy - Bins 1 through 17: </t>
    </r>
    <r>
      <rPr>
        <sz val="12"/>
        <color theme="1"/>
        <rFont val="Arial"/>
        <family val="2"/>
      </rPr>
      <t>Report the "engine output energy" value from the Stored 100-hour array for the specified Bin in kilowatt hours.</t>
    </r>
  </si>
  <si>
    <r>
      <t>Stored 100-hr:  Engine run time - Bin 1 through 17:</t>
    </r>
    <r>
      <rPr>
        <sz val="12"/>
        <color theme="1"/>
        <rFont val="Arial"/>
        <family val="2"/>
      </rPr>
      <t xml:space="preserve"> Report the "engine run time" value from the Stored 100-hour array for the specified Bin in hours.</t>
    </r>
  </si>
  <si>
    <r>
      <t xml:space="preserve">Lifetime:  Engine output energy - Bin 1 through 17: </t>
    </r>
    <r>
      <rPr>
        <sz val="12"/>
        <color theme="1"/>
        <rFont val="Arial"/>
        <family val="2"/>
      </rPr>
      <t>Report the "engine output energy" value from the Lifetime array for the specified Bin in kilowatt hours.</t>
    </r>
  </si>
  <si>
    <r>
      <t xml:space="preserve">Lifetime:  Engine run time - Bin 1 through 17: </t>
    </r>
    <r>
      <rPr>
        <sz val="12"/>
        <color theme="1"/>
        <rFont val="Arial"/>
        <family val="2"/>
      </rPr>
      <t>Report the "engine run time" value from the Lifetime array for the specified Bin in hours.</t>
    </r>
  </si>
  <si>
    <r>
      <t xml:space="preserve">Lifetime:  Vehicle fuel consumption - Bin 1 through 17: </t>
    </r>
    <r>
      <rPr>
        <sz val="12"/>
        <color theme="1"/>
        <rFont val="Arial"/>
        <family val="2"/>
      </rPr>
      <t>Report the "vehicle fuel consumption" value from the Lifetime array for the specified Bin in liters.</t>
    </r>
  </si>
  <si>
    <r>
      <t>Lifetime engine activity:  Engine run time - Bin 1 through 17:</t>
    </r>
    <r>
      <rPr>
        <sz val="12"/>
        <color theme="1"/>
        <rFont val="Arial"/>
        <family val="2"/>
      </rPr>
      <t xml:space="preserve"> Report the "engine run time" value from the Lifetime engine activity array for the specified Bin in hours.</t>
    </r>
  </si>
  <si>
    <t xml:space="preserve">CAL ID &amp; CVN Data table: </t>
  </si>
  <si>
    <t>This table is used to input the software calibration identification number (CAL ID) and calibration verification number (CVN) data required in sections 1968.2(g)(4.6) and (g)(4.7). The manufacturer shall report all CAL IDs and CVNs that are reported by the DEC-ECU. Each CAL ID and its corresponding CVN (i.e., CAL ID and CVN combination) shall be reported in CAL ID and CVN rows with the same #. For DEC-ECUs with multiple CAL ID and CVN combinations, the combinations shall be reported in the same order they are reported to a scan tool (i.e., the first CAL ID and CVN combination reported by the scan tool shall be reported in the rows for CAL ID #1 and CVN #1, the second CAL ID and CVN combination reported by the scan tool shall be reported in the rows for CAL ID #2 and CVN #2, and so on). The manufacturer shall add more rows as needed to accommodate all CAL ID and CVN combinations in the DEC-ECU.</t>
  </si>
  <si>
    <t xml:space="preserve">Fault Codes table: </t>
  </si>
  <si>
    <t>This table is used to input the fault codes/diagnostic trouble codes (DTC) required in section 1968.2(g)(4.4). The manufacturer report all pending, confirmed, and permanent DTCs stored in the DEC-ECU. The manufacturer shall report the fault code in the "DTC #n" row (e.g., "Pending DTC #1" row) and the fault code name in the associated "DTC #n Description" row (e.g., "Pending DTC #1 Description" row). The manufacturer shall add more rows as needed to accommodate all fault codes stored in the vehicle.</t>
  </si>
  <si>
    <t>Readiness Status tables:</t>
  </si>
  <si>
    <t xml:space="preserve">These tables (Readiness Status Since DTCs Cleared and Readiness Status Current Driving Cycle) are used to input the readiness status as required in section 1968.2(g)(4.1). The manufacturer shall report whether each readiness group is "Supported" or "Not Supported" and whether the readiness status for each readiness group is "Complete" or "Not Complete" starting in column D. </t>
  </si>
  <si>
    <t>Data Stream Parameters table:</t>
  </si>
  <si>
    <t>This table is used to input the data stream parameters required in section 1968.2(g)(4.2). The manufacturer shall report all data stream parameters supported by the DEC-ECU. In place of "Parameter #n" under the "Data stream parameters" column, the manufacturer shall report the parameter name and associated parameter ID (PID). The manufacturer shall add more rows to accommodate all the required data stream parameters in the vehicle.</t>
  </si>
  <si>
    <t>Test Results table:</t>
  </si>
  <si>
    <t>Tracking Parameters table:</t>
  </si>
  <si>
    <t>Freeze Frame Data table:</t>
  </si>
  <si>
    <t>This table is used to input the freeze frame data required in section 1968.2(g)(4.3). The manufacturer shall report all freeze frame data stored in the DEC-ECU. For each set of freeze frame data, the manufacturer shall report the DTC associated with the freeze frame data stored starting in column D, and shall report the name of the parameter in the freeze frame data in place of "Parameter #j description" under the "Freeze Frame Data" column, the corresponding SPN/PID and units under the SPN/PID and Units columns, and the value for the parameter starting in column D.  The manufacturer shall add more rows to accommodate all the stored freeze frame data in the vehicle.</t>
  </si>
  <si>
    <t>Diesel CSERS Trackers (Current Driving Cycle Data):</t>
  </si>
  <si>
    <t>Diesel CSERS Trackers (Historical EWMA Data):</t>
  </si>
  <si>
    <t>This table is used to input the tracking parameter data required in sections 1968.2(g)(6.1), (g)(6.2) and (g)(6.13). The manufacturer shall report the data value for tracking parameters that are supported by the DEC-ECU. For each parameter specified in the "Tracking parameters" column, report the data values in the appropriate field for each vehicle starting from column D and the corresponding units under the Units column. The manufacturer shall add more rows to accommodate all the EI-AECD timers in the vehicle.</t>
  </si>
  <si>
    <t>The CARB spreadsheets in this form are used to report the data required under section 1968.2(j)(3.2) of title 13, California Code of Regulations for light-duty and medium-duty diesel vehicles. The manufacturer may submit the completed form to CARB in an electronic format through CARB's electronic documentation system via the website https://ww2.arb.ca.gov/certification-document-management-system. These instructions detail how to fill in each sheet in the form.</t>
  </si>
  <si>
    <t>"Rate-Based Data" sheet</t>
  </si>
  <si>
    <t>This sheet contains the OBD II Diesel Rate-Based Data table to input the in-use monitoring performance ratio data required in section 1968.2(d)(3.2), (d)(4), and (d)(5). For vehicles using SAE J1979, the manufacturer shall report the data for the monitor groups listed in the table. For vehicles using SAE J1979-2, for each monitor group listed in the table, the manufacturer shall report the data for the monitor with the lowest average ratio. The manufacturer shall input the data in rows 5 up to 34. For parameters that are not supported in the vehicle, the field should be left blank unless otherwise specified below. The manufacturer may not use the abbreviation NA in any field. For the calculated ratio for each monitor, the manufacturer shall report the ratio with a minimum of three decimal places. Below are additional details for each field in the table:</t>
  </si>
  <si>
    <t>"J1979-2 Additional Rate-Based Data" sheet</t>
  </si>
  <si>
    <t>This sheet contains the OBD II SAE J1979-2 Additional Diesel Rate-Based Data table to input the complete in-use monitoring performance ratio data required in section 1968.2(d)(3.2), (d)(4), and (d)(5) for vehicles using SAE J1979-2. The manufacturer shall report the in-use monitoring performance ratio data for every supported fault code associated with every monitor group listed in the table. The manufacturer shall add more rows as needed to account for all the required fault codes associated with a particular monitor group - the additional rows shall be added such that all the fault codes for the same monitor group are situated together. For example, if the NMHC catalyst monitor group has separate monitors and fault codes to meet the Conversion Efficiency and Other Aftertreatment Assistance Functions monitoring requirements, the manufacturer will need to add a second row for the "Non-methane hydrocarbon converting (NMHC) catalyst monitors" monitor group in order to allow input of the data for both monitors. For parameters that are not supported in the vehicle, the fields should be left blank. Below are additional details for each field in the table:</t>
  </si>
  <si>
    <t>No.: The No. in this sheet and the No. in the "Rate-Based Data" sheet corresponds to the same vehicle.</t>
  </si>
  <si>
    <t>"SMAD" sheet</t>
  </si>
  <si>
    <t>"REAL NOx Data" sheet</t>
  </si>
  <si>
    <t>No.: The No. in this sheet and the No. in the "Rate-Based Data" sheet must correspond to data from the same vehicle.</t>
  </si>
  <si>
    <t>"REAL GHG Data" sheet</t>
  </si>
  <si>
    <t xml:space="preserve">"OBD Snapshot Data" sheet </t>
  </si>
  <si>
    <t>Below are instructions for filling out each table in the sheet. Alternatively, the data in the tables may be reported in another format determined by the manufacturer provided all indicated data are submitted and contained within one column per vehicle.</t>
  </si>
  <si>
    <t>"Diesel CSERS Trackers" sheet</t>
  </si>
  <si>
    <t>All sheets in each template allow for inputting data from up to 30 vehicles. If a manufacturer needs to add data from more than 30 vehicles, then the manufacturer will need to create additional sheets for each sheet tab, with each new sheet continuing the numbering for the vehicle number (i.e., No.) from the previous sheet instead of restarting at vehicle number 1 (e.g., the duplicated sheet should start with vehicle number 31). To create an additional sheet for each sheet tab, select all sheet tabs except for the “Instructions” sheet, right-click any selected sheet tab, select “Move or Copy…”, select “(move to end)”, check the “Create a copy” box, then finally click the “OK” button. The name of the duplicated sheet should keep the same name as the original but include at the end of the name a number inside parentheses starting with 2 (e.g., original sheet named “Rate-Based Data” and the duplicated sheet named “Rate-Based Data (2)”).</t>
  </si>
  <si>
    <r>
      <rPr>
        <b/>
        <sz val="12"/>
        <color theme="1"/>
        <rFont val="Arial"/>
        <family val="2"/>
      </rPr>
      <t>No.:</t>
    </r>
    <r>
      <rPr>
        <sz val="12"/>
        <color theme="1"/>
        <rFont val="Arial"/>
        <family val="2"/>
      </rPr>
      <t xml:space="preserve"> Number the data sets starting from the number 1.</t>
    </r>
  </si>
  <si>
    <r>
      <rPr>
        <b/>
        <sz val="12"/>
        <color theme="1"/>
        <rFont val="Arial"/>
        <family val="2"/>
      </rPr>
      <t xml:space="preserve">MY: </t>
    </r>
    <r>
      <rPr>
        <sz val="12"/>
        <color theme="1"/>
        <rFont val="Arial"/>
        <family val="2"/>
      </rPr>
      <t>Report the model year for the vehicle.</t>
    </r>
  </si>
  <si>
    <r>
      <rPr>
        <b/>
        <sz val="12"/>
        <color theme="1"/>
        <rFont val="Arial"/>
        <family val="2"/>
      </rPr>
      <t>Manufacturer:</t>
    </r>
    <r>
      <rPr>
        <sz val="12"/>
        <color theme="1"/>
        <rFont val="Arial"/>
        <family val="2"/>
      </rPr>
      <t xml:space="preserve"> Report the manufacturer name. The manufacturer name shall be consistent with all data submitted.</t>
    </r>
  </si>
  <si>
    <r>
      <rPr>
        <b/>
        <sz val="12"/>
        <color theme="1"/>
        <rFont val="Arial"/>
        <family val="2"/>
      </rPr>
      <t xml:space="preserve">Vehicle Model: </t>
    </r>
    <r>
      <rPr>
        <sz val="12"/>
        <color theme="1"/>
        <rFont val="Arial"/>
        <family val="2"/>
      </rPr>
      <t xml:space="preserve">Report the vehicle model for the vehicle. </t>
    </r>
  </si>
  <si>
    <r>
      <rPr>
        <b/>
        <sz val="12"/>
        <color theme="1"/>
        <rFont val="Arial"/>
        <family val="2"/>
      </rPr>
      <t>OBD II Group:</t>
    </r>
    <r>
      <rPr>
        <sz val="12"/>
        <color theme="1"/>
        <rFont val="Arial"/>
        <family val="2"/>
      </rPr>
      <t xml:space="preserve"> Report the OBD II group if applicable.</t>
    </r>
  </si>
  <si>
    <r>
      <rPr>
        <b/>
        <sz val="12"/>
        <color theme="1"/>
        <rFont val="Arial"/>
        <family val="2"/>
      </rPr>
      <t>Alternate-Fueled Vehicle:</t>
    </r>
    <r>
      <rPr>
        <sz val="12"/>
        <color theme="1"/>
        <rFont val="Arial"/>
        <family val="2"/>
      </rPr>
      <t xml:space="preserve"> Report "Yes" if the vehicle is an alternate-fueled vehicle or "No" if the vehicle is not an alternate-fueled vehicle.</t>
    </r>
  </si>
  <si>
    <r>
      <t xml:space="preserve">Powertrain Type: </t>
    </r>
    <r>
      <rPr>
        <sz val="12"/>
        <color theme="1"/>
        <rFont val="Arial"/>
        <family val="2"/>
      </rPr>
      <t>Report the powertrain type of the vehicle - conventional, mild hybrid electric, strong hybrid electric, or plug-in hybrid electric vehicle.</t>
    </r>
  </si>
  <si>
    <r>
      <t xml:space="preserve">Test Group: </t>
    </r>
    <r>
      <rPr>
        <sz val="12"/>
        <color theme="1"/>
        <rFont val="Arial"/>
        <family val="2"/>
      </rPr>
      <t>Report the California test group name.</t>
    </r>
  </si>
  <si>
    <r>
      <t xml:space="preserve">VIN: </t>
    </r>
    <r>
      <rPr>
        <sz val="12"/>
        <color theme="1"/>
        <rFont val="Arial"/>
        <family val="2"/>
      </rPr>
      <t xml:space="preserve">Report the vehicle identification number or the alternate vehicle identifier of the vehicle. </t>
    </r>
  </si>
  <si>
    <r>
      <t>Date:</t>
    </r>
    <r>
      <rPr>
        <sz val="12"/>
        <color theme="1"/>
        <rFont val="Arial"/>
        <family val="2"/>
      </rPr>
      <t xml:space="preserve"> Report the date that the data were taken.</t>
    </r>
  </si>
  <si>
    <r>
      <t xml:space="preserve">ODO: </t>
    </r>
    <r>
      <rPr>
        <sz val="12"/>
        <color theme="1"/>
        <rFont val="Arial"/>
        <family val="2"/>
      </rPr>
      <t>Report the odometer reading on the vehicle in miles.</t>
    </r>
  </si>
  <si>
    <r>
      <t>CAL ID:</t>
    </r>
    <r>
      <rPr>
        <sz val="12"/>
        <color theme="1"/>
        <rFont val="Arial"/>
        <family val="2"/>
      </rPr>
      <t xml:space="preserve"> Report the calibration identification number (CAL ID). For engines with more than one CAL ID, the CAL ID field should be filled with the CAL ID that best represents the OBD II software in the electronic controller unit (i.e., the CAL ID with the highest priority as defined in section 1968.2(g)(4.6.3)). </t>
    </r>
  </si>
  <si>
    <r>
      <t>Gen Den:</t>
    </r>
    <r>
      <rPr>
        <sz val="12"/>
        <color theme="1"/>
        <rFont val="Arial"/>
        <family val="2"/>
      </rPr>
      <t xml:space="preserve"> Report the general denominator.</t>
    </r>
  </si>
  <si>
    <r>
      <t xml:space="preserve">Ign Cycle: </t>
    </r>
    <r>
      <rPr>
        <sz val="12"/>
        <color theme="1"/>
        <rFont val="Arial"/>
        <family val="2"/>
      </rPr>
      <t>Report the number of ignition cycles.</t>
    </r>
  </si>
  <si>
    <r>
      <t xml:space="preserve">PHEV Ign Cycle: </t>
    </r>
    <r>
      <rPr>
        <sz val="12"/>
        <color theme="1"/>
        <rFont val="Arial"/>
        <family val="2"/>
      </rPr>
      <t>Report the number of plug-in hybrid electric vehicle (PHEV) ignition cycles. If a PHEV ignition cycle counter is not present, report a value of "0".</t>
    </r>
  </si>
  <si>
    <r>
      <rPr>
        <b/>
        <sz val="12"/>
        <color theme="1"/>
        <rFont val="Arial"/>
        <family val="2"/>
      </rPr>
      <t>NMHCCatNum:</t>
    </r>
    <r>
      <rPr>
        <sz val="12"/>
        <color theme="1"/>
        <rFont val="Arial"/>
        <family val="2"/>
      </rPr>
      <t xml:space="preserve"> Report the numerator for the non-methane hydrocarbon (NMHC) converting catalyst monitor.</t>
    </r>
  </si>
  <si>
    <r>
      <rPr>
        <b/>
        <sz val="12"/>
        <color theme="1"/>
        <rFont val="Arial"/>
        <family val="2"/>
      </rPr>
      <t>NMHCCatDen:</t>
    </r>
    <r>
      <rPr>
        <sz val="12"/>
        <color theme="1"/>
        <rFont val="Arial"/>
        <family val="2"/>
      </rPr>
      <t xml:space="preserve"> Report the denominator for the NMHC converting catalyst monitor.</t>
    </r>
  </si>
  <si>
    <r>
      <rPr>
        <b/>
        <sz val="12"/>
        <color theme="1"/>
        <rFont val="Arial"/>
        <family val="2"/>
      </rPr>
      <t>NMHCCatRat</t>
    </r>
    <r>
      <rPr>
        <sz val="12"/>
        <color theme="1"/>
        <rFont val="Arial"/>
        <family val="2"/>
      </rPr>
      <t>: Report the ratio for the NMHC converting catalyst monitor.</t>
    </r>
  </si>
  <si>
    <r>
      <rPr>
        <b/>
        <sz val="12"/>
        <color theme="1"/>
        <rFont val="Arial"/>
        <family val="2"/>
      </rPr>
      <t>NOxCatNum:</t>
    </r>
    <r>
      <rPr>
        <sz val="12"/>
        <color theme="1"/>
        <rFont val="Arial"/>
        <family val="2"/>
      </rPr>
      <t xml:space="preserve"> Report the numerator for the oxides of nitrogen (NOx) converting catalyst monitor (e.g., selective catalytic reduction system monitor).</t>
    </r>
  </si>
  <si>
    <r>
      <rPr>
        <b/>
        <sz val="12"/>
        <color theme="1"/>
        <rFont val="Arial"/>
        <family val="2"/>
      </rPr>
      <t>NOxCatDen:</t>
    </r>
    <r>
      <rPr>
        <sz val="12"/>
        <color theme="1"/>
        <rFont val="Arial"/>
        <family val="2"/>
      </rPr>
      <t xml:space="preserve"> Report the denominator for the NOx converting catalyst monitor.</t>
    </r>
  </si>
  <si>
    <r>
      <rPr>
        <b/>
        <sz val="12"/>
        <color theme="1"/>
        <rFont val="Arial"/>
        <family val="2"/>
      </rPr>
      <t>NOxCatRat:</t>
    </r>
    <r>
      <rPr>
        <sz val="12"/>
        <color theme="1"/>
        <rFont val="Arial"/>
        <family val="2"/>
      </rPr>
      <t xml:space="preserve"> Report the ratio for the NOx converting catalyst monitor.</t>
    </r>
  </si>
  <si>
    <r>
      <rPr>
        <b/>
        <sz val="12"/>
        <color theme="1"/>
        <rFont val="Arial"/>
        <family val="2"/>
      </rPr>
      <t>NOxAdsNum:</t>
    </r>
    <r>
      <rPr>
        <sz val="12"/>
        <color theme="1"/>
        <rFont val="Arial"/>
        <family val="2"/>
      </rPr>
      <t xml:space="preserve"> Report the numerator for the NOx adsorber or NOx trap (NOxAds) monitor.</t>
    </r>
  </si>
  <si>
    <r>
      <rPr>
        <b/>
        <sz val="12"/>
        <color theme="1"/>
        <rFont val="Arial"/>
        <family val="2"/>
      </rPr>
      <t>NOxAdsDen:</t>
    </r>
    <r>
      <rPr>
        <sz val="12"/>
        <color theme="1"/>
        <rFont val="Arial"/>
        <family val="2"/>
      </rPr>
      <t xml:space="preserve"> Report the denominator for the NOxAds monitor.</t>
    </r>
  </si>
  <si>
    <r>
      <rPr>
        <b/>
        <sz val="12"/>
        <color theme="1"/>
        <rFont val="Arial"/>
        <family val="2"/>
      </rPr>
      <t xml:space="preserve">NOxAdsRat: </t>
    </r>
    <r>
      <rPr>
        <sz val="12"/>
        <color theme="1"/>
        <rFont val="Arial"/>
        <family val="2"/>
      </rPr>
      <t>Report the ratio for the NOxAds monitor.</t>
    </r>
  </si>
  <si>
    <r>
      <rPr>
        <b/>
        <sz val="12"/>
        <color theme="1"/>
        <rFont val="Arial"/>
        <family val="2"/>
      </rPr>
      <t>ExhGasSenNum:</t>
    </r>
    <r>
      <rPr>
        <sz val="12"/>
        <color theme="1"/>
        <rFont val="Arial"/>
        <family val="2"/>
      </rPr>
      <t xml:space="preserve"> Report the numerator for the exhaust gas sensor monitor.</t>
    </r>
  </si>
  <si>
    <r>
      <rPr>
        <b/>
        <sz val="12"/>
        <color theme="1"/>
        <rFont val="Arial"/>
        <family val="2"/>
      </rPr>
      <t>ExhGasSenDen:</t>
    </r>
    <r>
      <rPr>
        <sz val="12"/>
        <color theme="1"/>
        <rFont val="Arial"/>
        <family val="2"/>
      </rPr>
      <t xml:space="preserve"> Report the denominator for the exhaust gas sensor monitor.</t>
    </r>
  </si>
  <si>
    <r>
      <rPr>
        <b/>
        <sz val="12"/>
        <color theme="1"/>
        <rFont val="Arial"/>
        <family val="2"/>
      </rPr>
      <t>ExhGasSenRat:</t>
    </r>
    <r>
      <rPr>
        <sz val="12"/>
        <color theme="1"/>
        <rFont val="Arial"/>
        <family val="2"/>
      </rPr>
      <t xml:space="preserve"> Report the ratio for the exhaust gas sensor monitor.</t>
    </r>
  </si>
  <si>
    <r>
      <rPr>
        <b/>
        <sz val="12"/>
        <color theme="1"/>
        <rFont val="Arial"/>
        <family val="2"/>
      </rPr>
      <t>EGRNum or EGR/VVTNum:</t>
    </r>
    <r>
      <rPr>
        <sz val="12"/>
        <color theme="1"/>
        <rFont val="Arial"/>
        <family val="2"/>
      </rPr>
      <t xml:space="preserve"> For vehicles using SAE J1979, report the numerator for the exhaust gas recirculation (EGR) system monitor or variable valve timing, lift, and/or control (VVT) system monitor. For vehicles using SAE J1979-2, report the numerator for the EGR system monitor.</t>
    </r>
  </si>
  <si>
    <r>
      <rPr>
        <b/>
        <sz val="12"/>
        <color theme="1"/>
        <rFont val="Arial"/>
        <family val="2"/>
      </rPr>
      <t xml:space="preserve">EGRDen or EGR/VVTDen: </t>
    </r>
    <r>
      <rPr>
        <sz val="12"/>
        <color theme="1"/>
        <rFont val="Arial"/>
        <family val="2"/>
      </rPr>
      <t>For vehicles using SAE J1979, report the denominator for the EGR system monitor or VVT system monitor. For vehicles using SAE J1979-2, report the denominator for the EGR system monitor.</t>
    </r>
  </si>
  <si>
    <r>
      <rPr>
        <b/>
        <sz val="12"/>
        <color theme="1"/>
        <rFont val="Arial"/>
        <family val="2"/>
      </rPr>
      <t>EGRRat or EGR/VVTRat:</t>
    </r>
    <r>
      <rPr>
        <sz val="12"/>
        <color theme="1"/>
        <rFont val="Arial"/>
        <family val="2"/>
      </rPr>
      <t xml:space="preserve"> For vehicles using SAE J1979, report the ratio for the EGR system monitor or VVT system monitor. For vehicles using SAE J1979-2, report the ratio for the EGR system monitor.</t>
    </r>
  </si>
  <si>
    <r>
      <rPr>
        <b/>
        <sz val="12"/>
        <color theme="1"/>
        <rFont val="Arial"/>
        <family val="2"/>
      </rPr>
      <t xml:space="preserve">VVTNum: </t>
    </r>
    <r>
      <rPr>
        <sz val="12"/>
        <color theme="1"/>
        <rFont val="Arial"/>
        <family val="2"/>
      </rPr>
      <t>For vehicles using SAE J1979-2, report the numerator for the VVT system monitor.</t>
    </r>
  </si>
  <si>
    <r>
      <rPr>
        <b/>
        <sz val="12"/>
        <color theme="1"/>
        <rFont val="Arial"/>
        <family val="2"/>
      </rPr>
      <t>VVTDen:</t>
    </r>
    <r>
      <rPr>
        <sz val="12"/>
        <color theme="1"/>
        <rFont val="Arial"/>
        <family val="2"/>
      </rPr>
      <t xml:space="preserve"> For vehicles using SAE J1979-2, report the denominator for the VVT system monitor.</t>
    </r>
  </si>
  <si>
    <r>
      <rPr>
        <b/>
        <sz val="12"/>
        <color theme="1"/>
        <rFont val="Arial"/>
        <family val="2"/>
      </rPr>
      <t xml:space="preserve">VVTRat: </t>
    </r>
    <r>
      <rPr>
        <sz val="12"/>
        <color theme="1"/>
        <rFont val="Arial"/>
        <family val="2"/>
      </rPr>
      <t>For vehicles using SAE J1979-2, report the ratio for the VVT system monitor.</t>
    </r>
  </si>
  <si>
    <r>
      <rPr>
        <b/>
        <sz val="12"/>
        <color theme="1"/>
        <rFont val="Arial"/>
        <family val="2"/>
      </rPr>
      <t xml:space="preserve">BoostNum: </t>
    </r>
    <r>
      <rPr>
        <sz val="12"/>
        <color theme="1"/>
        <rFont val="Arial"/>
        <family val="2"/>
      </rPr>
      <t xml:space="preserve">Report the numerator for the boost pressure control (Boost) system monitor. </t>
    </r>
  </si>
  <si>
    <r>
      <rPr>
        <b/>
        <sz val="12"/>
        <color theme="1"/>
        <rFont val="Arial"/>
        <family val="2"/>
      </rPr>
      <t xml:space="preserve">BoostDen: </t>
    </r>
    <r>
      <rPr>
        <sz val="12"/>
        <color theme="1"/>
        <rFont val="Arial"/>
        <family val="2"/>
      </rPr>
      <t xml:space="preserve">Report the denominator for the Boost system monitor. </t>
    </r>
  </si>
  <si>
    <r>
      <rPr>
        <b/>
        <sz val="12"/>
        <color theme="1"/>
        <rFont val="Arial"/>
        <family val="2"/>
      </rPr>
      <t>BoostRat:</t>
    </r>
    <r>
      <rPr>
        <sz val="12"/>
        <color theme="1"/>
        <rFont val="Arial"/>
        <family val="2"/>
      </rPr>
      <t xml:space="preserve"> Report the ratio for the Boost system monitor. </t>
    </r>
  </si>
  <si>
    <r>
      <rPr>
        <b/>
        <sz val="12"/>
        <color theme="1"/>
        <rFont val="Arial"/>
        <family val="2"/>
      </rPr>
      <t xml:space="preserve">FuelSysNum: </t>
    </r>
    <r>
      <rPr>
        <sz val="12"/>
        <color theme="1"/>
        <rFont val="Arial"/>
        <family val="2"/>
      </rPr>
      <t>Report the numerator for the fuel system (FuelSys) monitor.</t>
    </r>
  </si>
  <si>
    <r>
      <rPr>
        <b/>
        <sz val="12"/>
        <color theme="1"/>
        <rFont val="Arial"/>
        <family val="2"/>
      </rPr>
      <t>FuelSysDen:</t>
    </r>
    <r>
      <rPr>
        <sz val="12"/>
        <color theme="1"/>
        <rFont val="Arial"/>
        <family val="2"/>
      </rPr>
      <t xml:space="preserve"> Report the denominator for the FuelSys monitor.</t>
    </r>
  </si>
  <si>
    <r>
      <rPr>
        <b/>
        <sz val="12"/>
        <color theme="1"/>
        <rFont val="Arial"/>
        <family val="2"/>
      </rPr>
      <t>FuelSysRat:</t>
    </r>
    <r>
      <rPr>
        <sz val="12"/>
        <color theme="1"/>
        <rFont val="Arial"/>
        <family val="2"/>
      </rPr>
      <t xml:space="preserve"> Report the ratio for the FuelSys monitor.</t>
    </r>
  </si>
  <si>
    <r>
      <rPr>
        <b/>
        <sz val="12"/>
        <color theme="1"/>
        <rFont val="Arial"/>
        <family val="2"/>
      </rPr>
      <t>PMFltrNum:</t>
    </r>
    <r>
      <rPr>
        <sz val="12"/>
        <color theme="1"/>
        <rFont val="Arial"/>
        <family val="2"/>
      </rPr>
      <t xml:space="preserve"> Report the numerator for the particulate matter (PM) filter system monitor.</t>
    </r>
  </si>
  <si>
    <r>
      <rPr>
        <b/>
        <sz val="12"/>
        <color theme="1"/>
        <rFont val="Arial"/>
        <family val="2"/>
      </rPr>
      <t>PMFltrDen:</t>
    </r>
    <r>
      <rPr>
        <sz val="12"/>
        <color theme="1"/>
        <rFont val="Arial"/>
        <family val="2"/>
      </rPr>
      <t xml:space="preserve"> Report the denominator for the PM filter system monitor.</t>
    </r>
  </si>
  <si>
    <r>
      <rPr>
        <b/>
        <sz val="12"/>
        <color theme="1"/>
        <rFont val="Arial"/>
        <family val="2"/>
      </rPr>
      <t>PMFltrRat:</t>
    </r>
    <r>
      <rPr>
        <sz val="12"/>
        <color theme="1"/>
        <rFont val="Arial"/>
        <family val="2"/>
      </rPr>
      <t xml:space="preserve"> Report the ratio for the PM filter system monitor.</t>
    </r>
  </si>
  <si>
    <r>
      <t>For PM Filter: Vehicle/Engine Type 1, 2, or 3:</t>
    </r>
    <r>
      <rPr>
        <sz val="12"/>
        <color theme="1"/>
        <rFont val="Arial"/>
        <family val="2"/>
      </rPr>
      <t xml:space="preserve"> Report "1" for passenger cars, light-duty trucks, and medium-duty passenger vehicles (MDPV) certified to a chassis dynamometer tailpipe emission standard; report "2" for medium-duty vehicles (except MDPVs) certified to a chassis dynamometer tailpipe emission standard; and report "3" for medium-duty vehicles certified to an engine dynamometer tailpipe emission standard.</t>
    </r>
  </si>
  <si>
    <r>
      <t xml:space="preserve">For PM Filter: For 2026-2028 MY, Option 1 or 2: </t>
    </r>
    <r>
      <rPr>
        <sz val="12"/>
        <color theme="1"/>
        <rFont val="Arial"/>
        <family val="2"/>
      </rPr>
      <t>For 2026-2028 model year vehicles, report either "1" for Option 1 or "2" for Option 2 according to section 1968.2(d)(3.2.1)(G)(vi).</t>
    </r>
    <r>
      <rPr>
        <b/>
        <sz val="12"/>
        <color theme="1"/>
        <rFont val="Arial"/>
        <family val="2"/>
      </rPr>
      <t xml:space="preserve"> </t>
    </r>
    <r>
      <rPr>
        <sz val="12"/>
        <color theme="1"/>
        <rFont val="Arial"/>
        <family val="2"/>
      </rPr>
      <t>If this is not applicable, leave the field blank.</t>
    </r>
  </si>
  <si>
    <r>
      <t xml:space="preserve">Test Group: </t>
    </r>
    <r>
      <rPr>
        <sz val="12"/>
        <color theme="1"/>
        <rFont val="Arial"/>
        <family val="2"/>
      </rPr>
      <t xml:space="preserve">Report the California test group name. </t>
    </r>
  </si>
  <si>
    <r>
      <rPr>
        <b/>
        <sz val="12"/>
        <color theme="1"/>
        <rFont val="Arial"/>
        <family val="2"/>
      </rPr>
      <t>Date:</t>
    </r>
    <r>
      <rPr>
        <sz val="12"/>
        <color theme="1"/>
        <rFont val="Arial"/>
        <family val="2"/>
      </rPr>
      <t xml:space="preserve"> Report the date that the data were taken. </t>
    </r>
  </si>
  <si>
    <r>
      <rPr>
        <b/>
        <sz val="12"/>
        <color theme="1"/>
        <rFont val="Arial"/>
        <family val="2"/>
      </rPr>
      <t xml:space="preserve">Monitor Group: </t>
    </r>
    <r>
      <rPr>
        <sz val="12"/>
        <color theme="1"/>
        <rFont val="Arial"/>
        <family val="2"/>
      </rPr>
      <t xml:space="preserve">This lists the component/system group of monitors to which the monitor belongs to. </t>
    </r>
  </si>
  <si>
    <r>
      <rPr>
        <b/>
        <sz val="12"/>
        <color theme="1"/>
        <rFont val="Arial"/>
        <family val="2"/>
      </rPr>
      <t>Fault Code:</t>
    </r>
    <r>
      <rPr>
        <sz val="12"/>
        <color theme="1"/>
        <rFont val="Arial"/>
        <family val="2"/>
      </rPr>
      <t xml:space="preserve"> Report the fault code for the monitor. The fault code should include the failure type byte.</t>
    </r>
  </si>
  <si>
    <r>
      <rPr>
        <b/>
        <sz val="12"/>
        <color theme="1"/>
        <rFont val="Arial"/>
        <family val="2"/>
      </rPr>
      <t>Monitor Description:</t>
    </r>
    <r>
      <rPr>
        <sz val="12"/>
        <color theme="1"/>
        <rFont val="Arial"/>
        <family val="2"/>
      </rPr>
      <t xml:space="preserve"> Report the name of the monitor, including the name of the component/system.</t>
    </r>
  </si>
  <si>
    <r>
      <rPr>
        <b/>
        <sz val="12"/>
        <color theme="1"/>
        <rFont val="Arial"/>
        <family val="2"/>
      </rPr>
      <t>Numerator:</t>
    </r>
    <r>
      <rPr>
        <sz val="12"/>
        <color theme="1"/>
        <rFont val="Arial"/>
        <family val="2"/>
      </rPr>
      <t xml:space="preserve"> Report the numerator for the monitor.</t>
    </r>
  </si>
  <si>
    <r>
      <rPr>
        <b/>
        <sz val="12"/>
        <color theme="1"/>
        <rFont val="Arial"/>
        <family val="2"/>
      </rPr>
      <t xml:space="preserve">Denominator: </t>
    </r>
    <r>
      <rPr>
        <sz val="12"/>
        <color theme="1"/>
        <rFont val="Arial"/>
        <family val="2"/>
      </rPr>
      <t>Report the denominator for the monitor.</t>
    </r>
  </si>
  <si>
    <r>
      <rPr>
        <b/>
        <sz val="12"/>
        <color theme="1"/>
        <rFont val="Arial"/>
        <family val="2"/>
      </rPr>
      <t xml:space="preserve">Ratio: </t>
    </r>
    <r>
      <rPr>
        <sz val="12"/>
        <color theme="1"/>
        <rFont val="Arial"/>
        <family val="2"/>
      </rPr>
      <t>Report the ratio for the monitor. For the calculated ratio for each monitor, the manufacturer shall report the ratio with a minimum of three decimal places.</t>
    </r>
  </si>
  <si>
    <r>
      <t xml:space="preserve">ECU Name: </t>
    </r>
    <r>
      <rPr>
        <sz val="12"/>
        <color theme="1"/>
        <rFont val="Arial"/>
        <family val="2"/>
      </rPr>
      <t>Report the name of the control module where the SMAD data are stored.</t>
    </r>
  </si>
  <si>
    <r>
      <t>Fault Code:</t>
    </r>
    <r>
      <rPr>
        <sz val="12"/>
        <color theme="1"/>
        <rFont val="Arial"/>
        <family val="2"/>
      </rPr>
      <t xml:space="preserve"> Report the fault code for the monitor. The fault code should include the failure type byte.</t>
    </r>
  </si>
  <si>
    <r>
      <t xml:space="preserve">Monitor Description: </t>
    </r>
    <r>
      <rPr>
        <sz val="12"/>
        <color theme="1"/>
        <rFont val="Arial"/>
        <family val="2"/>
      </rPr>
      <t>Report the name of the monitor, including the name of the component/system</t>
    </r>
    <r>
      <rPr>
        <b/>
        <sz val="12"/>
        <color theme="1"/>
        <rFont val="Arial"/>
        <family val="2"/>
      </rPr>
      <t>.</t>
    </r>
  </si>
  <si>
    <r>
      <t xml:space="preserve">Mini-Numerator: </t>
    </r>
    <r>
      <rPr>
        <sz val="12"/>
        <color theme="1"/>
        <rFont val="Arial"/>
        <family val="2"/>
      </rPr>
      <t>Report the mini-numerator for the monitor.</t>
    </r>
  </si>
  <si>
    <r>
      <t xml:space="preserve">Mini-Denominator: </t>
    </r>
    <r>
      <rPr>
        <sz val="12"/>
        <color theme="1"/>
        <rFont val="Arial"/>
        <family val="2"/>
      </rPr>
      <t>Report the mini-denominator for the monitor.</t>
    </r>
  </si>
  <si>
    <r>
      <t xml:space="preserve">MAR: </t>
    </r>
    <r>
      <rPr>
        <sz val="12"/>
        <color theme="1"/>
        <rFont val="Arial"/>
        <family val="2"/>
      </rPr>
      <t>Report the monitor activity ratio (MAR) for the monitor.</t>
    </r>
  </si>
  <si>
    <r>
      <t xml:space="preserve">Current Mini-N/Mini-D: </t>
    </r>
    <r>
      <rPr>
        <sz val="12"/>
        <color theme="1"/>
        <rFont val="Arial"/>
        <family val="2"/>
      </rPr>
      <t xml:space="preserve">This value will automatically be calculated by dividing the value in the mini-numerator field with the value in the mini-denominator field. </t>
    </r>
  </si>
  <si>
    <r>
      <rPr>
        <b/>
        <sz val="12"/>
        <color theme="1"/>
        <rFont val="Arial"/>
        <family val="2"/>
      </rPr>
      <t>Stored 100-hr:  Distance traveled - Bin 1 through 17:</t>
    </r>
    <r>
      <rPr>
        <sz val="12"/>
        <color theme="1"/>
        <rFont val="Arial"/>
        <family val="2"/>
      </rPr>
      <t xml:space="preserve"> Report the "distance traveled" value from the Stored 100-hour array for the specified Bin in kilometers.</t>
    </r>
  </si>
  <si>
    <r>
      <rPr>
        <b/>
        <sz val="12"/>
        <color theme="1"/>
        <rFont val="Arial"/>
        <family val="2"/>
      </rPr>
      <t>Stored 100-hr:  Vehicle fuel consumption - Bin 1 through 17:</t>
    </r>
    <r>
      <rPr>
        <sz val="12"/>
        <color theme="1"/>
        <rFont val="Arial"/>
        <family val="2"/>
      </rPr>
      <t xml:space="preserve"> Report the "vehicle fuel consumption" value from the Stored 100-hour array for the specified Bin in liters.</t>
    </r>
  </si>
  <si>
    <r>
      <rPr>
        <b/>
        <sz val="12"/>
        <color theme="1"/>
        <rFont val="Arial"/>
        <family val="2"/>
      </rPr>
      <t>Lifetime:  NOx mass - engine out - Bin 1 through 17:</t>
    </r>
    <r>
      <rPr>
        <sz val="12"/>
        <color theme="1"/>
        <rFont val="Arial"/>
        <family val="2"/>
      </rPr>
      <t xml:space="preserve"> Report the "NOx mass - engine out" value from the Lifetime array for the specified Bin in grams.</t>
    </r>
  </si>
  <si>
    <r>
      <rPr>
        <b/>
        <sz val="12"/>
        <color theme="1"/>
        <rFont val="Arial"/>
        <family val="2"/>
      </rPr>
      <t>Lifetime:  NOx mass - tailpipe - Bin 1 through 17:</t>
    </r>
    <r>
      <rPr>
        <sz val="12"/>
        <color theme="1"/>
        <rFont val="Arial"/>
        <family val="2"/>
      </rPr>
      <t xml:space="preserve"> Report the "NOx mass - tailpipe" value from the Lifetime array for the specified Bin in grams.</t>
    </r>
  </si>
  <si>
    <r>
      <rPr>
        <b/>
        <sz val="12"/>
        <color theme="1"/>
        <rFont val="Arial"/>
        <family val="2"/>
      </rPr>
      <t>Lifetime:  Distance traveled - Bin 1 through 17:</t>
    </r>
    <r>
      <rPr>
        <sz val="12"/>
        <color theme="1"/>
        <rFont val="Arial"/>
        <family val="2"/>
      </rPr>
      <t xml:space="preserve"> Report the "distance traveled" value from the Lifetime array for the specified Bin in kilometers.</t>
    </r>
  </si>
  <si>
    <r>
      <rPr>
        <b/>
        <sz val="12"/>
        <color theme="1"/>
        <rFont val="Arial"/>
        <family val="2"/>
      </rPr>
      <t>Lifetime engine activity:  Engine output energy - Bin 1 through 17:</t>
    </r>
    <r>
      <rPr>
        <sz val="12"/>
        <color theme="1"/>
        <rFont val="Arial"/>
        <family val="2"/>
      </rPr>
      <t xml:space="preserve"> Report the "engine output energy" value from the Lifetime engine activity array for the specified Bin in kilowatt hours.</t>
    </r>
  </si>
  <si>
    <r>
      <rPr>
        <b/>
        <sz val="12"/>
        <color theme="1"/>
        <rFont val="Arial"/>
        <family val="2"/>
      </rPr>
      <t>Lifetime engine activity:  Distance traveled - Bin 1 through 17:</t>
    </r>
    <r>
      <rPr>
        <sz val="12"/>
        <color theme="1"/>
        <rFont val="Arial"/>
        <family val="2"/>
      </rPr>
      <t xml:space="preserve"> Report the "distance traveled" value from the Lifetime engine activity array for the specified Bin in kilometers.</t>
    </r>
  </si>
  <si>
    <r>
      <rPr>
        <b/>
        <sz val="12"/>
        <color theme="1"/>
        <rFont val="Arial"/>
        <family val="2"/>
      </rPr>
      <t>Lifetime engine activity:  Vehicle fuel consumption - Bin 1 through 17</t>
    </r>
    <r>
      <rPr>
        <sz val="12"/>
        <color theme="1"/>
        <rFont val="Arial"/>
        <family val="2"/>
      </rPr>
      <t>: Report the "vehicle fuel consumption" value from the Lifetime engine activity array for the specified Bin in liters.</t>
    </r>
  </si>
  <si>
    <r>
      <t xml:space="preserve">Recent Operation: Total engine run time: </t>
    </r>
    <r>
      <rPr>
        <sz val="12"/>
        <color theme="1"/>
        <rFont val="Arial"/>
        <family val="2"/>
      </rPr>
      <t>Report the total engine run time data from the recent operation data.</t>
    </r>
  </si>
  <si>
    <r>
      <t xml:space="preserve">Recent Operation: Total engine idle run time: </t>
    </r>
    <r>
      <rPr>
        <sz val="12"/>
        <color theme="1"/>
        <rFont val="Arial"/>
        <family val="2"/>
      </rPr>
      <t>Report the total engine idle run time data from the recent operation data.</t>
    </r>
  </si>
  <si>
    <r>
      <t xml:space="preserve">Recent Operation: Total distance traveled: </t>
    </r>
    <r>
      <rPr>
        <sz val="12"/>
        <color theme="1"/>
        <rFont val="Arial"/>
        <family val="2"/>
      </rPr>
      <t>Report the total distance traveled data from the recent operation data.</t>
    </r>
  </si>
  <si>
    <r>
      <t xml:space="preserve">Recent Operation: Total fuel consumed: </t>
    </r>
    <r>
      <rPr>
        <sz val="12"/>
        <color theme="1"/>
        <rFont val="Arial"/>
        <family val="2"/>
      </rPr>
      <t>Report the total fuel consumed data from the recent operation data.</t>
    </r>
  </si>
  <si>
    <r>
      <t xml:space="preserve">Recent Operation: Total positive kinetic energy: </t>
    </r>
    <r>
      <rPr>
        <sz val="12"/>
        <color theme="1"/>
        <rFont val="Arial"/>
        <family val="2"/>
      </rPr>
      <t>Report the total positive kinetic energy data from the recent operation data.</t>
    </r>
  </si>
  <si>
    <r>
      <t>Recent Operation: Total engine output energy:</t>
    </r>
    <r>
      <rPr>
        <sz val="12"/>
        <color theme="1"/>
        <rFont val="Arial"/>
        <family val="2"/>
      </rPr>
      <t xml:space="preserve"> Report the total engine output energy data from the recent operation data.</t>
    </r>
  </si>
  <si>
    <r>
      <t xml:space="preserve">Recent Operation: Total propulsion system active time: </t>
    </r>
    <r>
      <rPr>
        <sz val="12"/>
        <color theme="1"/>
        <rFont val="Arial"/>
        <family val="2"/>
      </rPr>
      <t>Report the total propulsion system active time data from the recent operation data.</t>
    </r>
  </si>
  <si>
    <r>
      <t xml:space="preserve">Recent Operation: Total idle propulsion system active time: </t>
    </r>
    <r>
      <rPr>
        <sz val="12"/>
        <color theme="1"/>
        <rFont val="Arial"/>
        <family val="2"/>
      </rPr>
      <t>Report the total idle propulsion system active time data from the recent operation data.</t>
    </r>
  </si>
  <si>
    <r>
      <t xml:space="preserve">Recent Operation: Total city propulsion system active time: </t>
    </r>
    <r>
      <rPr>
        <sz val="12"/>
        <color theme="1"/>
        <rFont val="Arial"/>
        <family val="2"/>
      </rPr>
      <t>Report the total city propulsion system active time data from the recent operation data.</t>
    </r>
  </si>
  <si>
    <r>
      <t>Lifetime: Total engine run time:</t>
    </r>
    <r>
      <rPr>
        <sz val="12"/>
        <color theme="1"/>
        <rFont val="Arial"/>
        <family val="2"/>
      </rPr>
      <t xml:space="preserve"> Report the total engine run time data from the lifetime data.</t>
    </r>
  </si>
  <si>
    <r>
      <t xml:space="preserve">Lifetime: Total engine idle run time: </t>
    </r>
    <r>
      <rPr>
        <sz val="12"/>
        <color theme="1"/>
        <rFont val="Arial"/>
        <family val="2"/>
      </rPr>
      <t>Report the total engine idle run time data from the lifetime data.</t>
    </r>
  </si>
  <si>
    <r>
      <t>Lifetime: Total distance traveled:</t>
    </r>
    <r>
      <rPr>
        <sz val="12"/>
        <color theme="1"/>
        <rFont val="Arial"/>
        <family val="2"/>
      </rPr>
      <t xml:space="preserve"> Report the total distance traveled data from the lifetime data.</t>
    </r>
  </si>
  <si>
    <r>
      <t>Lifetime: Total fuel consumed:</t>
    </r>
    <r>
      <rPr>
        <sz val="12"/>
        <color theme="1"/>
        <rFont val="Arial"/>
        <family val="2"/>
      </rPr>
      <t xml:space="preserve"> Report the total fuel consumed data from the lifetime data.</t>
    </r>
  </si>
  <si>
    <r>
      <t xml:space="preserve">Lifetime: Total positive kinetic energy: </t>
    </r>
    <r>
      <rPr>
        <sz val="12"/>
        <color theme="1"/>
        <rFont val="Arial"/>
        <family val="2"/>
      </rPr>
      <t>Report the total positive kinetic energy data from the lifetime data.</t>
    </r>
  </si>
  <si>
    <r>
      <t>Lifetime: Total engine output energy:</t>
    </r>
    <r>
      <rPr>
        <sz val="12"/>
        <color theme="1"/>
        <rFont val="Arial"/>
        <family val="2"/>
      </rPr>
      <t xml:space="preserve"> Report the total engine output energy data from the lifetime data.</t>
    </r>
  </si>
  <si>
    <r>
      <t>Lifetime: Total propulsion system active time:</t>
    </r>
    <r>
      <rPr>
        <sz val="12"/>
        <color theme="1"/>
        <rFont val="Arial"/>
        <family val="2"/>
      </rPr>
      <t xml:space="preserve"> Report the total propulsion system active time data from the lifetime data.</t>
    </r>
  </si>
  <si>
    <r>
      <t xml:space="preserve">Lifetime: Total idle propulsion system active time: </t>
    </r>
    <r>
      <rPr>
        <sz val="12"/>
        <color theme="1"/>
        <rFont val="Arial"/>
        <family val="2"/>
      </rPr>
      <t>Report the total idle propulsion system active time data from the lifetime data.</t>
    </r>
  </si>
  <si>
    <r>
      <t xml:space="preserve">Lifetime: Total city propulsion system active time: </t>
    </r>
    <r>
      <rPr>
        <sz val="12"/>
        <color theme="1"/>
        <rFont val="Arial"/>
        <family val="2"/>
      </rPr>
      <t>Report the total city propulsion system active time data from the lifetime data.</t>
    </r>
  </si>
  <si>
    <r>
      <t xml:space="preserve">Recent Operation: Total distance traveled in charge depleting operation with engine off: </t>
    </r>
    <r>
      <rPr>
        <sz val="12"/>
        <color theme="1"/>
        <rFont val="Arial"/>
        <family val="2"/>
      </rPr>
      <t>For plug-in hybrid vehicles, report the total distance traveled in charge depleting operation with engine off data from the recent operation data.</t>
    </r>
  </si>
  <si>
    <r>
      <t>Recent Operation: Total distance traveled in charge depleting operation with engine running:</t>
    </r>
    <r>
      <rPr>
        <sz val="12"/>
        <color theme="1"/>
        <rFont val="Arial"/>
        <family val="2"/>
      </rPr>
      <t xml:space="preserve"> For plug-in hybrid vehicles, report the total distance traveled in charge depleting operation with engine running data from the recent operation data.</t>
    </r>
  </si>
  <si>
    <r>
      <t>Recent Operation: Total distance traveled in driver-selectable charge increasing operation:</t>
    </r>
    <r>
      <rPr>
        <sz val="12"/>
        <color theme="1"/>
        <rFont val="Arial"/>
        <family val="2"/>
      </rPr>
      <t xml:space="preserve"> For plug-in hybrid vehicles, report the total distance traveled in driver-selectable charge increasing operation data from the recent operation data.</t>
    </r>
  </si>
  <si>
    <r>
      <t xml:space="preserve">Recent Operation: Total fuel consumed in charge depleting operation: </t>
    </r>
    <r>
      <rPr>
        <sz val="12"/>
        <color theme="1"/>
        <rFont val="Arial"/>
        <family val="2"/>
      </rPr>
      <t>For plug-in hybrid vehicles, report the total fuel consumed in charge depleting operation data from the recent operation data.</t>
    </r>
  </si>
  <si>
    <r>
      <t xml:space="preserve">Recent Operation: Total fuel consumed in driver-selectable charge increasing operation: </t>
    </r>
    <r>
      <rPr>
        <sz val="12"/>
        <color theme="1"/>
        <rFont val="Arial"/>
        <family val="2"/>
      </rPr>
      <t>For plug-in hybrid vehicles, report the total fuel consumed in driver-selectable charge increasing operation data from the recent operation data.</t>
    </r>
  </si>
  <si>
    <r>
      <t xml:space="preserve">Recent Operation: Total grid energy consumed in charge depleting operation with engine off: </t>
    </r>
    <r>
      <rPr>
        <sz val="12"/>
        <color theme="1"/>
        <rFont val="Arial"/>
        <family val="2"/>
      </rPr>
      <t>For plug-in hybrid vehicles, report the total grid energy consumed in charge depleting operation with engine off data from the recent operation data.</t>
    </r>
  </si>
  <si>
    <r>
      <t xml:space="preserve">Recent Operation: Total grid energy consumed in charge depleting operation with engine running: </t>
    </r>
    <r>
      <rPr>
        <sz val="12"/>
        <color theme="1"/>
        <rFont val="Arial"/>
        <family val="2"/>
      </rPr>
      <t>For plug-in hybrid vehicles, report the total grid energy consumed in charge depleting operation with engine running data from the recent operation data.</t>
    </r>
  </si>
  <si>
    <r>
      <t xml:space="preserve">Recent Operation: Total grid energy into the battery: </t>
    </r>
    <r>
      <rPr>
        <sz val="12"/>
        <color theme="1"/>
        <rFont val="Arial"/>
        <family val="2"/>
      </rPr>
      <t>For plug-in hybrid vehicles, report the total grid energy into the battery data from the recent operation data.</t>
    </r>
  </si>
  <si>
    <r>
      <t xml:space="preserve">Lifetime: Total distance traveled in charge depleting operation with engine off: </t>
    </r>
    <r>
      <rPr>
        <sz val="12"/>
        <color theme="1"/>
        <rFont val="Arial"/>
        <family val="2"/>
      </rPr>
      <t>For plug-in hybrid vehicles, report the total distance traveled in charge depleting operation with engine off data from the lifetime data.</t>
    </r>
  </si>
  <si>
    <r>
      <t xml:space="preserve">Lifetime: Total distance traveled in charge depleting operation with engine running: </t>
    </r>
    <r>
      <rPr>
        <sz val="12"/>
        <color theme="1"/>
        <rFont val="Arial"/>
        <family val="2"/>
      </rPr>
      <t>For plug-in hybrid vehicles, report the total distance traveled in charge depleting operation with engine running data from the lifetime data.</t>
    </r>
  </si>
  <si>
    <r>
      <t xml:space="preserve">Lifetime: Total distance traveled in driver-selectable charge increasing operation: </t>
    </r>
    <r>
      <rPr>
        <sz val="12"/>
        <color theme="1"/>
        <rFont val="Arial"/>
        <family val="2"/>
      </rPr>
      <t>For plug-in hybrid vehicles, report the total distance traveled in driver-selectable charge increasing operation data from the lifetime data.</t>
    </r>
  </si>
  <si>
    <r>
      <t xml:space="preserve">Lifetime: Total fuel consumed in charge depleting operation: </t>
    </r>
    <r>
      <rPr>
        <sz val="12"/>
        <color theme="1"/>
        <rFont val="Arial"/>
        <family val="2"/>
      </rPr>
      <t>For plug-in hybrid vehicles, report the total fuel consumed in charge depleting operation data from the lifetime data.</t>
    </r>
  </si>
  <si>
    <r>
      <t xml:space="preserve">Lifetime: Total fuel consumed in driver-selectable charge increasing operation: </t>
    </r>
    <r>
      <rPr>
        <sz val="12"/>
        <color theme="1"/>
        <rFont val="Arial"/>
        <family val="2"/>
      </rPr>
      <t>For plug-in hybrid vehicles, report the total fuel consumed in driver-selectable charge increasing operation data from the lifetime data.</t>
    </r>
  </si>
  <si>
    <r>
      <t>Lifetime: Total grid energy consumed in charge depleting operation with engine off:</t>
    </r>
    <r>
      <rPr>
        <sz val="12"/>
        <color theme="1"/>
        <rFont val="Arial"/>
        <family val="2"/>
      </rPr>
      <t xml:space="preserve"> For plug-in hybrid vehicles, report the total grid energy consumed in charge depleting operation with engine off data from the lifetime data.</t>
    </r>
  </si>
  <si>
    <r>
      <t xml:space="preserve">Lifetime: Total grid energy consumed in charge depleting operation with engine running: </t>
    </r>
    <r>
      <rPr>
        <sz val="12"/>
        <color theme="1"/>
        <rFont val="Arial"/>
        <family val="2"/>
      </rPr>
      <t>For plug-in hybrid vehicles, report the total grid energy consumed in charge depleting operation with engine running data from the lifetime data.</t>
    </r>
  </si>
  <si>
    <r>
      <t xml:space="preserve">Lifetime: Total grid energy into the battery: </t>
    </r>
    <r>
      <rPr>
        <sz val="12"/>
        <color theme="1"/>
        <rFont val="Arial"/>
        <family val="2"/>
      </rPr>
      <t>For plug-in hybrid vehicles, report the total grid energy into the battery data from the lifetime data.</t>
    </r>
  </si>
  <si>
    <r>
      <t xml:space="preserve">Recent Operation: Active Grille Air Shutter "A"/"B" Timer 1: </t>
    </r>
    <r>
      <rPr>
        <sz val="12"/>
        <color theme="1"/>
        <rFont val="Arial"/>
        <family val="2"/>
      </rPr>
      <t>If so equipped, report the active grille air shutter "A" or "B" timer 1 data from the recent operation data.</t>
    </r>
  </si>
  <si>
    <r>
      <t xml:space="preserve">Recent Operation: Active Grille Air Shutter "A"/"B" Timer 2: </t>
    </r>
    <r>
      <rPr>
        <sz val="12"/>
        <color theme="1"/>
        <rFont val="Arial"/>
        <family val="2"/>
      </rPr>
      <t>If so equipped, report the active grille air shutter "A" or "B" timer 2 data from the recent operation data.</t>
    </r>
  </si>
  <si>
    <r>
      <t xml:space="preserve">Lifetime: Active Grille Air Shutter "A"/"B" Timer 1: </t>
    </r>
    <r>
      <rPr>
        <sz val="12"/>
        <color theme="1"/>
        <rFont val="Arial"/>
        <family val="2"/>
      </rPr>
      <t>If so equipped, report the active grille air shutter "A" or "B" timer 1 data from the lifetime data.</t>
    </r>
  </si>
  <si>
    <r>
      <t xml:space="preserve">Lifetime: Active Grille Air Shutter "A"/"B" Timer 2: </t>
    </r>
    <r>
      <rPr>
        <sz val="12"/>
        <color theme="1"/>
        <rFont val="Arial"/>
        <family val="2"/>
      </rPr>
      <t>If so equipped, report the active grille air shutter "A" or "B" timer 2 data from the lifetime data.</t>
    </r>
  </si>
  <si>
    <r>
      <t xml:space="preserve">Recent Operation: Vehicle Ride Height Control Timer 1: </t>
    </r>
    <r>
      <rPr>
        <sz val="12"/>
        <color theme="1"/>
        <rFont val="Arial"/>
        <family val="2"/>
      </rPr>
      <t>If so equipped, report the vehicle ride height control timer 1 data from the recent operation data.</t>
    </r>
  </si>
  <si>
    <r>
      <t xml:space="preserve">Recent Operation: Vehicle Ride Height Control Timer 2: </t>
    </r>
    <r>
      <rPr>
        <sz val="12"/>
        <color theme="1"/>
        <rFont val="Arial"/>
        <family val="2"/>
      </rPr>
      <t>If so equipped, report the vehicle ride height control timer 2 data from the recent operation data.</t>
    </r>
  </si>
  <si>
    <r>
      <t xml:space="preserve">Lifetime: Vehicle Ride Height Control Timer 1: </t>
    </r>
    <r>
      <rPr>
        <sz val="12"/>
        <color theme="1"/>
        <rFont val="Arial"/>
        <family val="2"/>
      </rPr>
      <t>If so equipped, report the vehicle ride height control timer 1 data from the lifetime data.</t>
    </r>
  </si>
  <si>
    <r>
      <t xml:space="preserve">Lifetime: Vehicle Ride Height Control Timer 2: </t>
    </r>
    <r>
      <rPr>
        <sz val="12"/>
        <color theme="1"/>
        <rFont val="Arial"/>
        <family val="2"/>
      </rPr>
      <t>If so equipped, report the vehicle ride height control timer 2 data from the lifetime data.</t>
    </r>
  </si>
  <si>
    <r>
      <t xml:space="preserve">Recent Operation: Active Aerodynamic Feature #1/#2 Timer 1: </t>
    </r>
    <r>
      <rPr>
        <sz val="12"/>
        <color theme="1"/>
        <rFont val="Arial"/>
        <family val="2"/>
      </rPr>
      <t>If so equipped, report the active aerodynamic feature #1 or #2 timer 1 data from the recent operation data.</t>
    </r>
  </si>
  <si>
    <r>
      <t xml:space="preserve">Recent Operation: Active Aerodynamic Feature #1/#2 Timer 2: </t>
    </r>
    <r>
      <rPr>
        <sz val="12"/>
        <color theme="1"/>
        <rFont val="Arial"/>
        <family val="2"/>
      </rPr>
      <t>If so equipped, report the active aerodynamic feature #1 or #2 timer 2 data from the recent operation data.</t>
    </r>
  </si>
  <si>
    <r>
      <t>Lifetime: Active Aerodynamic Feature #1/#2 Timer 1:</t>
    </r>
    <r>
      <rPr>
        <sz val="12"/>
        <color theme="1"/>
        <rFont val="Arial"/>
        <family val="2"/>
      </rPr>
      <t xml:space="preserve"> If so equipped, report the active aerodynamic feature #1 or #2 timer 1 data from the lifetime data. </t>
    </r>
  </si>
  <si>
    <r>
      <t xml:space="preserve">Lifetime: Active Aerodynamic Feature #1/#2 Timer 2: </t>
    </r>
    <r>
      <rPr>
        <sz val="12"/>
        <color theme="1"/>
        <rFont val="Arial"/>
        <family val="2"/>
      </rPr>
      <t>If so equipped, report the active aerodynamic feature #1 or #2 timer 2 data from the lifetime data.</t>
    </r>
  </si>
  <si>
    <r>
      <t>Recent Operation:  "Eco" Driver-Selectable Mode Timer:</t>
    </r>
    <r>
      <rPr>
        <sz val="12"/>
        <color theme="1"/>
        <rFont val="Arial"/>
        <family val="2"/>
      </rPr>
      <t xml:space="preserve"> If so equipped, report the "Eco" driver-selectable mode timer data from the recent operation data.</t>
    </r>
  </si>
  <si>
    <r>
      <t xml:space="preserve">Recent Operation: Driver-Selectable Mode Timer 1/2/3/4: </t>
    </r>
    <r>
      <rPr>
        <sz val="12"/>
        <color theme="1"/>
        <rFont val="Arial"/>
        <family val="2"/>
      </rPr>
      <t>If so equipped, report the driver-selectable mode timer 1, 2, 3, or 4 data from the recent operation data.</t>
    </r>
  </si>
  <si>
    <r>
      <t>Lifetime:  "Eco" Driver-Selectable Mode Timer:</t>
    </r>
    <r>
      <rPr>
        <sz val="12"/>
        <color theme="1"/>
        <rFont val="Arial"/>
        <family val="2"/>
      </rPr>
      <t xml:space="preserve"> If so equipped, report the "Eco" driver-selectable mode timer data from the lifetime data</t>
    </r>
    <r>
      <rPr>
        <b/>
        <sz val="12"/>
        <color theme="1"/>
        <rFont val="Arial"/>
        <family val="2"/>
      </rPr>
      <t>.</t>
    </r>
  </si>
  <si>
    <r>
      <t xml:space="preserve">Lifetime: Driver-Selectable Mode Timer 1/2/3/4: </t>
    </r>
    <r>
      <rPr>
        <sz val="12"/>
        <color theme="1"/>
        <rFont val="Arial"/>
        <family val="2"/>
      </rPr>
      <t>If so equipped, report the driver-selectable mode timer 1, 2, 3, or 4 data from the lifetime data.</t>
    </r>
  </si>
  <si>
    <r>
      <t xml:space="preserve">Recent Operation: Idle Stop-Start Timer: </t>
    </r>
    <r>
      <rPr>
        <sz val="12"/>
        <color theme="1"/>
        <rFont val="Arial"/>
        <family val="2"/>
      </rPr>
      <t>If so equipped, report the idle stop-start timer data from the recent operation data.</t>
    </r>
  </si>
  <si>
    <r>
      <t xml:space="preserve">Recent Operation: Engine Running Coasting Timer: </t>
    </r>
    <r>
      <rPr>
        <sz val="12"/>
        <color theme="1"/>
        <rFont val="Arial"/>
        <family val="2"/>
      </rPr>
      <t>If so equipped, report the engine running coasting timer data from the recent operation data.</t>
    </r>
  </si>
  <si>
    <r>
      <t>Recent Operation: Engine Off Coasting Timer:</t>
    </r>
    <r>
      <rPr>
        <sz val="12"/>
        <color theme="1"/>
        <rFont val="Arial"/>
        <family val="2"/>
      </rPr>
      <t xml:space="preserve"> If so equipped, report the engine off coasting timer data from the recent operation data.</t>
    </r>
  </si>
  <si>
    <r>
      <t xml:space="preserve">Lifetime: Idle Stop-Start Timer: </t>
    </r>
    <r>
      <rPr>
        <sz val="12"/>
        <color theme="1"/>
        <rFont val="Arial"/>
        <family val="2"/>
      </rPr>
      <t>If so equipped, report the idle stop-start timer data from the lifetime data.</t>
    </r>
  </si>
  <si>
    <r>
      <t>Lifetime: Engine Running Coasting Timer:</t>
    </r>
    <r>
      <rPr>
        <sz val="12"/>
        <color theme="1"/>
        <rFont val="Arial"/>
        <family val="2"/>
      </rPr>
      <t xml:space="preserve"> If so equipped, report the engine running coasting timer data from the lifetime data.</t>
    </r>
  </si>
  <si>
    <r>
      <t xml:space="preserve">Lifetime: Engine Off Coasting Timer: </t>
    </r>
    <r>
      <rPr>
        <sz val="12"/>
        <color theme="1"/>
        <rFont val="Arial"/>
        <family val="2"/>
      </rPr>
      <t>If so equipped, report the engine off coasting timer data from the lifetime data.</t>
    </r>
  </si>
  <si>
    <r>
      <t>Recent Operation: Driver Coaching Technology 1/2/3 Enabled Counter:</t>
    </r>
    <r>
      <rPr>
        <sz val="12"/>
        <color theme="1"/>
        <rFont val="Arial"/>
        <family val="2"/>
      </rPr>
      <t xml:space="preserve"> If so equipped, report the driver coaching technology 1, 2, or 3 enabled counter data from the recent operation data.</t>
    </r>
  </si>
  <si>
    <r>
      <t xml:space="preserve">Recent Operation: Driver Coaching Technology 1/2/3 Utilized Counter: </t>
    </r>
    <r>
      <rPr>
        <sz val="12"/>
        <color theme="1"/>
        <rFont val="Arial"/>
        <family val="2"/>
      </rPr>
      <t>If so equipped, report the driver coaching technology 1, 2, or 3 utilized counter data from the recent operation data.</t>
    </r>
  </si>
  <si>
    <r>
      <t xml:space="preserve">Lifetime: Driver Coaching Technology 1/2/3 Enabled Counter: </t>
    </r>
    <r>
      <rPr>
        <sz val="12"/>
        <color theme="1"/>
        <rFont val="Arial"/>
        <family val="2"/>
      </rPr>
      <t>If so equipped, report the driver coaching technology 1, 2, or 3 enabled counter data from the lifetime data.</t>
    </r>
  </si>
  <si>
    <r>
      <t xml:space="preserve">Lifetime: Driver Coaching Technology 1/2/3 Utilized Counter: </t>
    </r>
    <r>
      <rPr>
        <sz val="12"/>
        <color theme="1"/>
        <rFont val="Arial"/>
        <family val="2"/>
      </rPr>
      <t>If so equipped, report the driver coaching technology 1, 2, or 3 utilized counter data from the lifetime data.</t>
    </r>
  </si>
  <si>
    <r>
      <t xml:space="preserve">Recent Operation: Active Engine Warm-up Timer: </t>
    </r>
    <r>
      <rPr>
        <sz val="12"/>
        <color theme="1"/>
        <rFont val="Arial"/>
        <family val="2"/>
      </rPr>
      <t>If so equipped, report the active engine warm-up timer data from the recent operation data.</t>
    </r>
  </si>
  <si>
    <r>
      <t xml:space="preserve">Recent Operation: Active Transmission Warm-up Timer: </t>
    </r>
    <r>
      <rPr>
        <sz val="12"/>
        <color theme="1"/>
        <rFont val="Arial"/>
        <family val="2"/>
      </rPr>
      <t>If so equipped, report the active transmission warm-up timer data from the recent operation data.</t>
    </r>
  </si>
  <si>
    <r>
      <t xml:space="preserve">Lifetime: Active Engine Warm-up Timer: </t>
    </r>
    <r>
      <rPr>
        <sz val="12"/>
        <color theme="1"/>
        <rFont val="Arial"/>
        <family val="2"/>
      </rPr>
      <t>If so equipped, report the active engine warm-up timer data from the lifetime data.</t>
    </r>
  </si>
  <si>
    <r>
      <t xml:space="preserve">Lifetime: Active Transmission Warm-up Timer: </t>
    </r>
    <r>
      <rPr>
        <sz val="12"/>
        <color theme="1"/>
        <rFont val="Arial"/>
        <family val="2"/>
      </rPr>
      <t>If so equipped, report the active transmission warm-up timer data from the lifetime data.</t>
    </r>
  </si>
  <si>
    <r>
      <t xml:space="preserve">Recent Operation: Active Off-Cycle Credit Technology #1/#2/#3/#4/#5 Timer 1: </t>
    </r>
    <r>
      <rPr>
        <sz val="12"/>
        <color theme="1"/>
        <rFont val="Arial"/>
        <family val="2"/>
      </rPr>
      <t>If so equipped, report the active off-cycle credit technology #1, #2, #3, #4, or #5 timer 1 data from the recent operation data.</t>
    </r>
  </si>
  <si>
    <r>
      <t xml:space="preserve">Recent Operation: Active Off-Cycle Credit Technology #1/#2/#3/#4/#5 Timer 2: </t>
    </r>
    <r>
      <rPr>
        <sz val="12"/>
        <color theme="1"/>
        <rFont val="Arial"/>
        <family val="2"/>
      </rPr>
      <t>If so equipped, report the active off-cycle credit technology #1, #2, #3, #4, or #5 timer 2 data from the recent operation data.</t>
    </r>
  </si>
  <si>
    <r>
      <t xml:space="preserve">Lifetime: Active Off-Cycle Credit Technology #1/#2/#3/#4/#5 Timer 1: </t>
    </r>
    <r>
      <rPr>
        <sz val="12"/>
        <color theme="1"/>
        <rFont val="Arial"/>
        <family val="2"/>
      </rPr>
      <t>If so equipped, report the active off-cycle credit technology #1, #2, #3, #4, or #5 timer 1 data from the lifetime data.</t>
    </r>
  </si>
  <si>
    <r>
      <t xml:space="preserve">Lifetime: Active Off-Cycle Credit Technology #1/#2/#3/#4/#5 Timer 2: </t>
    </r>
    <r>
      <rPr>
        <sz val="12"/>
        <color theme="1"/>
        <rFont val="Arial"/>
        <family val="2"/>
      </rPr>
      <t>If so equipped, report the active off-cycle credit technology #1, #2, #3, #4, or #5 timer 2 data from the lifetime data.</t>
    </r>
  </si>
  <si>
    <r>
      <rPr>
        <b/>
        <sz val="12"/>
        <color theme="1"/>
        <rFont val="Arial"/>
        <family val="2"/>
      </rPr>
      <t>Date:</t>
    </r>
    <r>
      <rPr>
        <sz val="12"/>
        <color theme="1"/>
        <rFont val="Arial"/>
        <family val="2"/>
      </rPr>
      <t xml:space="preserve"> Report the date that the data were obtained from the vehicle. </t>
    </r>
  </si>
  <si>
    <r>
      <t>ECU Name:</t>
    </r>
    <r>
      <rPr>
        <sz val="12"/>
        <color theme="1"/>
        <rFont val="Arial"/>
        <family val="2"/>
      </rPr>
      <t xml:space="preserve"> Report the name of the DEC-ECU.</t>
    </r>
  </si>
  <si>
    <t>This table is used to input the test results information required in section 1968.2(g)(4.5). The manufacturer shall report test results information from all monitors that support test results in the DEC-ECU. In place of "Diagnostic #n description" under the "Test Results" column, the manufacturer shall report the name of the diagnostic test described in SAE J1979 for the specific OBDMID TID. The manufacturer shall report the minimum test limit values in the "Minimum" rows, the test result values in the "Test result" rows, and the maximum test limit values in the "Maximum" rows for each monitor in the respective rows. The manufacturer shall add more rows to accommodate all the required test results information in the vehicle.</t>
  </si>
  <si>
    <r>
      <t xml:space="preserve">ECU Name: </t>
    </r>
    <r>
      <rPr>
        <sz val="12"/>
        <color theme="1"/>
        <rFont val="Arial"/>
        <family val="2"/>
      </rPr>
      <t>Report the name of the ECU storing the diesel CSERS trackers data.</t>
    </r>
  </si>
  <si>
    <r>
      <rPr>
        <b/>
        <sz val="12"/>
        <color theme="1"/>
        <rFont val="Arial"/>
        <family val="2"/>
      </rPr>
      <t xml:space="preserve">Heat energy release tracker #1: </t>
    </r>
    <r>
      <rPr>
        <sz val="12"/>
        <color theme="1"/>
        <rFont val="Arial"/>
        <family val="2"/>
      </rPr>
      <t>Report the heat energy release tracker #1 value for the current driving cycle in kiloJoules.</t>
    </r>
  </si>
  <si>
    <r>
      <rPr>
        <b/>
        <sz val="12"/>
        <color theme="1"/>
        <rFont val="Arial"/>
        <family val="2"/>
      </rPr>
      <t xml:space="preserve">Heat energy release tracker #2: </t>
    </r>
    <r>
      <rPr>
        <sz val="12"/>
        <color theme="1"/>
        <rFont val="Arial"/>
        <family val="2"/>
      </rPr>
      <t>Report the heat energy release tracker #2 value for the current driving cycle in kiloJoules.</t>
    </r>
  </si>
  <si>
    <r>
      <rPr>
        <b/>
        <sz val="12"/>
        <color theme="1"/>
        <rFont val="Arial"/>
        <family val="2"/>
      </rPr>
      <t xml:space="preserve">Heat energy release tracker #3: </t>
    </r>
    <r>
      <rPr>
        <sz val="12"/>
        <color theme="1"/>
        <rFont val="Arial"/>
        <family val="2"/>
      </rPr>
      <t>Report the heat energy release tracker #3 value for the current driving cycle in kiloJoules.</t>
    </r>
  </si>
  <si>
    <r>
      <t xml:space="preserve">Engine output energy tracker #1: </t>
    </r>
    <r>
      <rPr>
        <sz val="12"/>
        <color theme="1"/>
        <rFont val="Arial"/>
        <family val="2"/>
      </rPr>
      <t>Report the engine output energy tracker #1 value for the current driving cycle in kiloJoules.</t>
    </r>
  </si>
  <si>
    <r>
      <t xml:space="preserve">Engine output energy tracker #2: </t>
    </r>
    <r>
      <rPr>
        <sz val="12"/>
        <color theme="1"/>
        <rFont val="Arial"/>
        <family val="2"/>
      </rPr>
      <t>Report the engine output energy tracker #2 value for the current driving cycle in kiloJoules.</t>
    </r>
  </si>
  <si>
    <r>
      <t xml:space="preserve">EGR mass flow tracker #1: </t>
    </r>
    <r>
      <rPr>
        <sz val="12"/>
        <color theme="1"/>
        <rFont val="Arial"/>
        <family val="2"/>
      </rPr>
      <t>Report the EGR mass flow tracker #1 value for the current driving cycle in kilograms.</t>
    </r>
  </si>
  <si>
    <r>
      <t xml:space="preserve">EGR mass flow tracker #2: </t>
    </r>
    <r>
      <rPr>
        <sz val="12"/>
        <color theme="1"/>
        <rFont val="Arial"/>
        <family val="2"/>
      </rPr>
      <t>Report the EGR mass flow tracker #2 value for the current driving cycle in kilograms.</t>
    </r>
  </si>
  <si>
    <r>
      <t xml:space="preserve">EGR mass flow tracker #3: </t>
    </r>
    <r>
      <rPr>
        <sz val="12"/>
        <color theme="1"/>
        <rFont val="Arial"/>
        <family val="2"/>
      </rPr>
      <t>Report the EGR mass flow tracker #3 value for the current driving cycle in kilograms.</t>
    </r>
  </si>
  <si>
    <r>
      <t xml:space="preserve">Timer #1 (engine energy output accumulated time): </t>
    </r>
    <r>
      <rPr>
        <sz val="12"/>
        <color theme="1"/>
        <rFont val="Arial"/>
        <family val="2"/>
      </rPr>
      <t xml:space="preserve">Report the timer #1 engine energy output accumulated time for the current driving cycle in seconds. </t>
    </r>
  </si>
  <si>
    <r>
      <t xml:space="preserve">Timer #2 (catalyst cold start tracking accumulated time): </t>
    </r>
    <r>
      <rPr>
        <sz val="12"/>
        <color theme="1"/>
        <rFont val="Arial"/>
        <family val="2"/>
      </rPr>
      <t>Report the timer #2 catalyst cold start tracking accumulated time for the current driving cycle in seconds.</t>
    </r>
  </si>
  <si>
    <r>
      <rPr>
        <b/>
        <sz val="12"/>
        <color theme="1"/>
        <rFont val="Arial"/>
        <family val="2"/>
      </rPr>
      <t xml:space="preserve">Heat energy release tracker #1: </t>
    </r>
    <r>
      <rPr>
        <sz val="12"/>
        <color theme="1"/>
        <rFont val="Arial"/>
        <family val="2"/>
      </rPr>
      <t>Report the historical heat energy release tracker #1 value in kiloJoules.</t>
    </r>
  </si>
  <si>
    <r>
      <rPr>
        <b/>
        <sz val="12"/>
        <color theme="1"/>
        <rFont val="Arial"/>
        <family val="2"/>
      </rPr>
      <t xml:space="preserve">Heat energy release tracker #2: </t>
    </r>
    <r>
      <rPr>
        <sz val="12"/>
        <color theme="1"/>
        <rFont val="Arial"/>
        <family val="2"/>
      </rPr>
      <t>Report the historical heat energy release tracker #2 value in kiloJoules.</t>
    </r>
  </si>
  <si>
    <r>
      <rPr>
        <b/>
        <sz val="12"/>
        <color theme="1"/>
        <rFont val="Arial"/>
        <family val="2"/>
      </rPr>
      <t xml:space="preserve">Heat energy release tracker #3: </t>
    </r>
    <r>
      <rPr>
        <sz val="12"/>
        <color theme="1"/>
        <rFont val="Arial"/>
        <family val="2"/>
      </rPr>
      <t>Report the historical heat energy release tracker #3 value in kiloJoules.</t>
    </r>
  </si>
  <si>
    <r>
      <t xml:space="preserve">Engine output energy tracker #1: </t>
    </r>
    <r>
      <rPr>
        <sz val="12"/>
        <color theme="1"/>
        <rFont val="Arial"/>
        <family val="2"/>
      </rPr>
      <t>Report the historical engine output energy tracker #1 value in kiloJoules.</t>
    </r>
  </si>
  <si>
    <r>
      <t xml:space="preserve">Engine output energy tracker #2: </t>
    </r>
    <r>
      <rPr>
        <sz val="12"/>
        <color theme="1"/>
        <rFont val="Arial"/>
        <family val="2"/>
      </rPr>
      <t>Report the historical engine output energy tracker #2 value in kiloJoules.</t>
    </r>
  </si>
  <si>
    <r>
      <t xml:space="preserve">EGR mass flow tracker #1: </t>
    </r>
    <r>
      <rPr>
        <sz val="12"/>
        <color theme="1"/>
        <rFont val="Arial"/>
        <family val="2"/>
      </rPr>
      <t>Report the historical EGR mass flow tracker #1 value in kilograms.</t>
    </r>
  </si>
  <si>
    <r>
      <t xml:space="preserve">EGR mass flow tracker #2: </t>
    </r>
    <r>
      <rPr>
        <sz val="12"/>
        <color theme="1"/>
        <rFont val="Arial"/>
        <family val="2"/>
      </rPr>
      <t>Report the historical EGR mass flow tracker #2 value in kilograms.</t>
    </r>
  </si>
  <si>
    <r>
      <t xml:space="preserve">EGR mass flow tracker #3:  </t>
    </r>
    <r>
      <rPr>
        <sz val="12"/>
        <color theme="1"/>
        <rFont val="Arial"/>
        <family val="2"/>
      </rPr>
      <t>Report the historical EGR mass flow tracker #3 value in kilograms.</t>
    </r>
  </si>
  <si>
    <r>
      <t xml:space="preserve">Timer #1 (engine energy output accumulated time): </t>
    </r>
    <r>
      <rPr>
        <sz val="12"/>
        <color theme="1"/>
        <rFont val="Arial"/>
        <family val="2"/>
      </rPr>
      <t xml:space="preserve">Report the historical timer #1 engine energy output accumulated time in seconds. </t>
    </r>
  </si>
  <si>
    <r>
      <t xml:space="preserve">Timer #2 (catalyst cold start tracking accumulated time): </t>
    </r>
    <r>
      <rPr>
        <sz val="12"/>
        <color theme="1"/>
        <rFont val="Arial"/>
        <family val="2"/>
      </rPr>
      <t>Report the historical timer #2 catalyst cold start tracking accumulated time in seconds.</t>
    </r>
  </si>
  <si>
    <t>Instructions for Completing the CARB Form ECCD/OBD-116</t>
  </si>
  <si>
    <t xml:space="preserve">OBD II Diesel Rate-Based Data  </t>
  </si>
  <si>
    <t>This sheet contains the Supplemental Monitor Activity Data (SMAD) table to input the data required in section 1968.2(d)(5.7) for vehicles using SAE J1979-2. The manufacturer shall input the information in rows 4 through 6 and the data values in the fields starting with row 8. The manufacturer shall add more rows to accommodate all the SMAD data for all vehicles. Below are details for each field in the sheet:</t>
  </si>
  <si>
    <t>This sheet contains the table to input the Real Emissions Assessment Logging (REAL) NOx emission tracking data (i.e., REAL NOx data) required in section 1968.2(g)(6.12) for vehicles using SAE J1979-2. The manufacturer shall input the information in rows 4 through 6 and the data values in the "Real NOx Tracking Bin Data" table starting from column C and row 21. The fields in the "Calculated Values" table are locked and cannot be populated with data by the manufacturer - the table will be automatically populated when the fields in the "REAL NOx Tracking Bin Data" table are populated. Below are details for each field in the sheet:</t>
  </si>
  <si>
    <t>This sheet contains the table to input the REAL greenhouse gas tracking data (i.e., REAL GHG data) required in sections 1968.2(g)(6.3) to (6.5) for vehicles using SAE J1979-2. The manufacturer shall input the information in rows 4 through 6 and the data in the fields starting from column C and row 8. For active off-cycle credit technologies that are not using the "Active Off-Cycle Credit Technology #1 through #5 Timer" parameters (e.g., active grille air shutters), the manufacturer shall change report the name of the parameter (e.g., Recent Operation: Active Grille Air Shutter "A" Timer 1) in place of the "Active Off-Cycle Credit Technology A" name under column A. For parameters that are not supported in the vehicle, the field should be left blank. The manufacturer shall add more rows to accommodate all the active off-cycle credit technology data in the vehicle. Below are details for each field in the sheet:</t>
  </si>
  <si>
    <t>This sheet contains the tables to input the standardized data (i.e., OBD snapshot data) required in sections 1968.2(g)(4.1) through (4.9), (g)(6.1), (g)(6.2), and (g)(6.13) from all diagnostic or emission critical electronic control units (DEC-ECU) for vehicles using SAE J1979-2. For vehicles with more than one DEC-ECU, the manufacturer shall input OBD snapshot data for each DEC-ECU using one sheet for each DEC-ECU - the manufacturer shall rename each sheet to account for each DEC-ECU by number (e.g., for vehicles with two DEC-ECUs, rename the two sheets to "OBD Snapshot Data (DEC-ECU1)" and "OBD Snapshot Data (DEC-ECU2)"). The manufacturer shall add more sheets as needed to accommodate all DEC-ECUs in the vehicle. For data that are not supported in the specific DEC-ECU, the manufacturer shall leave the field blank. Below are details for each field in rows 3 through 7 in the sheet:</t>
  </si>
  <si>
    <t>This sheet contains the tables to input the cold start emission reduction strategy (CSERS) tracking data required for diesel vehicles (i.e., diesel CSERS trackers) in section 1968.2(g)(6.14). The manufacturer shall input the information in rows 3 through 7 and the data values in the fields starting from column C and row 9. Below are details for each field in the sheet:</t>
  </si>
  <si>
    <r>
      <rPr>
        <sz val="9"/>
        <rFont val="Arial"/>
        <family val="2"/>
      </rPr>
      <t xml:space="preserve">State of California
California Environmental Protection Agency
California Air Resources Board 
</t>
    </r>
    <r>
      <rPr>
        <b/>
        <sz val="12"/>
        <rFont val="Arial"/>
        <family val="2"/>
      </rPr>
      <t>OBD II Diesel PVE J3 Template</t>
    </r>
    <r>
      <rPr>
        <sz val="12"/>
        <rFont val="Arial"/>
        <family val="2"/>
      </rPr>
      <t xml:space="preserve">
</t>
    </r>
    <r>
      <rPr>
        <sz val="9"/>
        <rFont val="Arial"/>
        <family val="2"/>
      </rPr>
      <t>ECCD/OBD-116 (REV. 08/2023) Worksheet 1 of 8</t>
    </r>
  </si>
  <si>
    <r>
      <rPr>
        <sz val="9"/>
        <color theme="1"/>
        <rFont val="Arial"/>
        <family val="2"/>
      </rPr>
      <t xml:space="preserve">State of California
California Environmental Protection Agency
California Air Resources Board 
</t>
    </r>
    <r>
      <rPr>
        <b/>
        <sz val="12"/>
        <color theme="1"/>
        <rFont val="Arial"/>
        <family val="2"/>
      </rPr>
      <t>OBD II Diesel PVE J3 Template</t>
    </r>
    <r>
      <rPr>
        <sz val="10"/>
        <color theme="1"/>
        <rFont val="Arial"/>
        <family val="2"/>
      </rPr>
      <t xml:space="preserve">
</t>
    </r>
    <r>
      <rPr>
        <sz val="9"/>
        <color theme="1"/>
        <rFont val="Arial"/>
        <family val="2"/>
      </rPr>
      <t>ECCD/OBD-116 (REV. 08/2023) Worksheet 2 of 8</t>
    </r>
  </si>
  <si>
    <r>
      <rPr>
        <sz val="9"/>
        <color theme="1"/>
        <rFont val="Arial"/>
        <family val="2"/>
      </rPr>
      <t xml:space="preserve">State of California
California Environmental Protection Agency
California Air Resources Board  
</t>
    </r>
    <r>
      <rPr>
        <b/>
        <sz val="12"/>
        <color theme="1"/>
        <rFont val="Arial"/>
        <family val="2"/>
      </rPr>
      <t>OBD II Diesel PVE J3 Template</t>
    </r>
    <r>
      <rPr>
        <sz val="12"/>
        <color theme="1"/>
        <rFont val="Arial"/>
        <family val="2"/>
      </rPr>
      <t xml:space="preserve">
</t>
    </r>
    <r>
      <rPr>
        <sz val="9"/>
        <color theme="1"/>
        <rFont val="Arial"/>
        <family val="2"/>
      </rPr>
      <t>ECCD/OBD-116 (REV. 08/2023) Worksheet 3 of 8</t>
    </r>
  </si>
  <si>
    <r>
      <rPr>
        <sz val="9"/>
        <color theme="1"/>
        <rFont val="Arial"/>
        <family val="2"/>
      </rPr>
      <t xml:space="preserve">State of California
California Environmental Protection Agency
California Air Resources Board  
</t>
    </r>
    <r>
      <rPr>
        <b/>
        <sz val="12"/>
        <color theme="1"/>
        <rFont val="Arial"/>
        <family val="2"/>
      </rPr>
      <t>OBD II Diesel PVE J3 Template</t>
    </r>
    <r>
      <rPr>
        <sz val="12"/>
        <color theme="1"/>
        <rFont val="Arial"/>
        <family val="2"/>
      </rPr>
      <t xml:space="preserve">
</t>
    </r>
    <r>
      <rPr>
        <sz val="9"/>
        <color theme="1"/>
        <rFont val="Arial"/>
        <family val="2"/>
      </rPr>
      <t>ECCD/OBD-116 (REV. 08/2023) Worksheet 4 of 8</t>
    </r>
  </si>
  <si>
    <r>
      <rPr>
        <sz val="9"/>
        <color theme="1"/>
        <rFont val="Arial"/>
        <family val="2"/>
      </rPr>
      <t xml:space="preserve">State of California
California Environmental Protection Agency
California Air Resources Board </t>
    </r>
    <r>
      <rPr>
        <sz val="8"/>
        <color theme="1"/>
        <rFont val="Arial"/>
        <family val="2"/>
      </rPr>
      <t xml:space="preserve"> 
</t>
    </r>
    <r>
      <rPr>
        <b/>
        <sz val="12"/>
        <color theme="1"/>
        <rFont val="Arial"/>
        <family val="2"/>
      </rPr>
      <t xml:space="preserve">OBD II Diesel PVE J3 Template 
</t>
    </r>
    <r>
      <rPr>
        <sz val="9"/>
        <color theme="1"/>
        <rFont val="Arial"/>
        <family val="2"/>
      </rPr>
      <t>ECCD/OBD-116 (REV. 08/2023) Worksheet 5 of 8</t>
    </r>
  </si>
  <si>
    <r>
      <rPr>
        <sz val="9"/>
        <color theme="1"/>
        <rFont val="Arial"/>
        <family val="2"/>
      </rPr>
      <t xml:space="preserve">State of California
California Environmental Protection Agency
California Air Resources Board  
</t>
    </r>
    <r>
      <rPr>
        <b/>
        <sz val="12"/>
        <color theme="1"/>
        <rFont val="Arial"/>
        <family val="2"/>
      </rPr>
      <t xml:space="preserve">OBD II Diesel PVE J3 Template </t>
    </r>
    <r>
      <rPr>
        <sz val="10"/>
        <color theme="1"/>
        <rFont val="Arial"/>
        <family val="2"/>
      </rPr>
      <t xml:space="preserve">
</t>
    </r>
    <r>
      <rPr>
        <sz val="9"/>
        <color theme="1"/>
        <rFont val="Arial"/>
        <family val="2"/>
      </rPr>
      <t>ECCD/OBD-116 (REV. 08/2023) Worksheet 6 of 8</t>
    </r>
  </si>
  <si>
    <r>
      <rPr>
        <sz val="9"/>
        <color theme="1"/>
        <rFont val="Arial"/>
        <family val="2"/>
      </rPr>
      <t xml:space="preserve">State of California
California Environmental Protection Agency
California Air Resources Board </t>
    </r>
    <r>
      <rPr>
        <sz val="8"/>
        <color theme="1"/>
        <rFont val="Arial"/>
        <family val="2"/>
      </rPr>
      <t xml:space="preserve"> 
</t>
    </r>
    <r>
      <rPr>
        <b/>
        <sz val="12"/>
        <color theme="1"/>
        <rFont val="Arial"/>
        <family val="2"/>
      </rPr>
      <t xml:space="preserve">OBD II Diesel PVE J3 Template </t>
    </r>
    <r>
      <rPr>
        <sz val="10"/>
        <color theme="1"/>
        <rFont val="Arial"/>
        <family val="2"/>
      </rPr>
      <t xml:space="preserve">
</t>
    </r>
    <r>
      <rPr>
        <sz val="9"/>
        <color theme="1"/>
        <rFont val="Arial"/>
        <family val="2"/>
      </rPr>
      <t>ECCD/OBD-116 (REV. 08/2023) Worksheet 7 of 8</t>
    </r>
  </si>
  <si>
    <r>
      <rPr>
        <sz val="9"/>
        <color theme="1"/>
        <rFont val="Arial"/>
        <family val="2"/>
      </rPr>
      <t xml:space="preserve">State of California
California Environmental Protection Agency
California Air Resources Board  
</t>
    </r>
    <r>
      <rPr>
        <b/>
        <sz val="12"/>
        <color theme="1"/>
        <rFont val="Arial"/>
        <family val="2"/>
      </rPr>
      <t xml:space="preserve">OBD II Diesel PVE J3 Template </t>
    </r>
    <r>
      <rPr>
        <sz val="10"/>
        <color theme="1"/>
        <rFont val="Arial"/>
        <family val="2"/>
      </rPr>
      <t xml:space="preserve">
</t>
    </r>
    <r>
      <rPr>
        <sz val="9"/>
        <color theme="1"/>
        <rFont val="Arial"/>
        <family val="2"/>
      </rPr>
      <t>ECCD/OBD-116 (REV. 08/2023) Worksheet 8 of 8</t>
    </r>
  </si>
  <si>
    <r>
      <t xml:space="preserve">Note: </t>
    </r>
    <r>
      <rPr>
        <sz val="12"/>
        <rFont val="Arial"/>
        <family val="2"/>
      </rPr>
      <t>Rows cannot be added if there are more than 30 lines of vehicle data. Therefore, additional vehicles will need to be entered on a second sheet.  In addition, if a PHEV Ign Cycle counter is not present, report a value of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</si>
</sst>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409]m/d/yy\ h:mm\ AM/PM;@"/>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b/>
      <sz val="12"/>
      <name val="Arial"/>
      <family val="2"/>
    </font>
    <font>
      <b/>
      <u/>
      <sz val="12"/>
      <name val="Arial"/>
      <family val="2"/>
    </font>
    <font>
      <sz val="11"/>
      <color theme="1"/>
      <name val="Calibri"/>
      <family val="2"/>
      <scheme val="minor"/>
    </font>
    <font>
      <sz val="8"/>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sz val="8"/>
      <color theme="1"/>
      <name val="Arial"/>
      <family val="2"/>
    </font>
    <font>
      <b/>
      <u/>
      <sz val="12"/>
      <color theme="1"/>
      <name val="Arial"/>
      <family val="2"/>
    </font>
    <font>
      <sz val="9"/>
      <name val="Arial"/>
      <family val="2"/>
    </font>
    <font>
      <sz val="9"/>
      <color theme="1"/>
      <name val="Arial"/>
      <family val="2"/>
    </font>
    <font>
      <b/>
      <sz val="14"/>
      <name val="Arial"/>
      <family val="2"/>
    </font>
    <font>
      <b/>
      <sz val="14"/>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s>
  <cellStyleXfs count="12">
    <xf numFmtId="0" fontId="0" fillId="0" borderId="0"/>
    <xf numFmtId="0" fontId="7" fillId="0" borderId="0"/>
    <xf numFmtId="0" fontId="11" fillId="0" borderId="0"/>
    <xf numFmtId="9" fontId="6" fillId="0" borderId="0" applyFont="0" applyFill="0" applyBorder="0" applyAlignment="0" applyProtection="0"/>
    <xf numFmtId="0" fontId="6" fillId="0" borderId="0"/>
    <xf numFmtId="0" fontId="5" fillId="0" borderId="0"/>
    <xf numFmtId="0" fontId="4" fillId="0" borderId="0"/>
    <xf numFmtId="0" fontId="6" fillId="0" borderId="0"/>
    <xf numFmtId="0" fontId="3" fillId="0" borderId="0"/>
    <xf numFmtId="43" fontId="6" fillId="0" borderId="0" applyFont="0" applyFill="0" applyBorder="0" applyAlignment="0" applyProtection="0"/>
    <xf numFmtId="0" fontId="2" fillId="0" borderId="0"/>
    <xf numFmtId="0" fontId="1" fillId="0" borderId="0"/>
  </cellStyleXfs>
  <cellXfs count="304">
    <xf numFmtId="0" fontId="0" fillId="0" borderId="0" xfId="0"/>
    <xf numFmtId="9" fontId="8" fillId="0" borderId="0" xfId="3" applyFont="1" applyAlignment="1" applyProtection="1">
      <alignment horizontal="center"/>
    </xf>
    <xf numFmtId="0" fontId="14" fillId="0" borderId="0" xfId="0" applyFont="1" applyAlignment="1">
      <alignment wrapText="1"/>
    </xf>
    <xf numFmtId="0" fontId="15" fillId="0" borderId="0" xfId="0" applyFont="1" applyAlignment="1">
      <alignment horizontal="center"/>
    </xf>
    <xf numFmtId="0" fontId="14" fillId="0" borderId="0" xfId="4" applyFont="1" applyAlignment="1">
      <alignment wrapText="1"/>
    </xf>
    <xf numFmtId="0" fontId="15" fillId="0" borderId="0" xfId="4" applyFont="1" applyAlignment="1">
      <alignment wrapText="1"/>
    </xf>
    <xf numFmtId="0" fontId="13" fillId="0" borderId="0" xfId="10" applyFont="1"/>
    <xf numFmtId="0" fontId="13" fillId="0" borderId="0" xfId="10" applyFont="1" applyAlignment="1">
      <alignment wrapText="1"/>
    </xf>
    <xf numFmtId="0" fontId="15" fillId="0" borderId="0" xfId="0" applyFont="1"/>
    <xf numFmtId="166" fontId="15" fillId="0" borderId="0" xfId="0" applyNumberFormat="1" applyFont="1" applyAlignment="1">
      <alignment horizontal="center"/>
    </xf>
    <xf numFmtId="0" fontId="15" fillId="0" borderId="0" xfId="0" applyFont="1" applyAlignment="1">
      <alignment wrapText="1"/>
    </xf>
    <xf numFmtId="0" fontId="15" fillId="0" borderId="0" xfId="4" applyFont="1" applyAlignment="1">
      <alignment horizontal="left" wrapText="1"/>
    </xf>
    <xf numFmtId="0" fontId="15" fillId="0" borderId="0" xfId="4" applyFont="1" applyAlignment="1">
      <alignment horizontal="left"/>
    </xf>
    <xf numFmtId="0" fontId="15" fillId="0" borderId="0" xfId="4" applyFont="1"/>
    <xf numFmtId="49" fontId="18" fillId="0" borderId="0" xfId="4" applyNumberFormat="1" applyFont="1" applyAlignment="1">
      <alignment horizontal="left" vertical="center" wrapText="1"/>
    </xf>
    <xf numFmtId="49" fontId="15" fillId="0" borderId="0" xfId="4" applyNumberFormat="1" applyFont="1" applyAlignment="1">
      <alignment horizontal="left" vertical="center" wrapText="1"/>
    </xf>
    <xf numFmtId="0" fontId="18" fillId="0" borderId="0" xfId="4" applyFont="1" applyAlignment="1">
      <alignment wrapText="1"/>
    </xf>
    <xf numFmtId="49" fontId="15" fillId="0" borderId="0" xfId="4" applyNumberFormat="1" applyFont="1" applyAlignment="1">
      <alignment horizontal="left" vertical="top" wrapText="1"/>
    </xf>
    <xf numFmtId="49" fontId="14" fillId="0" borderId="0" xfId="4" applyNumberFormat="1" applyFont="1" applyAlignment="1">
      <alignment horizontal="left" vertical="center" wrapText="1"/>
    </xf>
    <xf numFmtId="49" fontId="14" fillId="0" borderId="0" xfId="0" applyNumberFormat="1" applyFont="1" applyAlignment="1">
      <alignment horizontal="left" vertical="top" wrapText="1"/>
    </xf>
    <xf numFmtId="49" fontId="15" fillId="0" borderId="0" xfId="4" applyNumberFormat="1" applyFont="1" applyAlignment="1">
      <alignment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5" fillId="0" borderId="6" xfId="0" applyFont="1" applyBorder="1"/>
    <xf numFmtId="0" fontId="13" fillId="4" borderId="0" xfId="10" applyFont="1" applyFill="1"/>
    <xf numFmtId="0" fontId="14" fillId="0" borderId="20" xfId="0" applyFont="1" applyBorder="1" applyAlignment="1">
      <alignment horizontal="left" vertical="top"/>
    </xf>
    <xf numFmtId="0" fontId="14" fillId="0" borderId="40" xfId="0" applyFont="1" applyBorder="1" applyAlignment="1">
      <alignment horizontal="left" vertical="top"/>
    </xf>
    <xf numFmtId="0" fontId="14" fillId="0" borderId="21" xfId="0" applyFont="1" applyBorder="1" applyAlignment="1">
      <alignment horizontal="left" vertical="top"/>
    </xf>
    <xf numFmtId="1" fontId="15" fillId="3" borderId="29" xfId="0" applyNumberFormat="1" applyFont="1" applyFill="1" applyBorder="1" applyAlignment="1">
      <alignment horizontal="left" vertical="top"/>
    </xf>
    <xf numFmtId="1" fontId="15" fillId="3" borderId="30" xfId="0" applyNumberFormat="1" applyFont="1" applyFill="1" applyBorder="1" applyAlignment="1">
      <alignment horizontal="left" vertical="top"/>
    </xf>
    <xf numFmtId="1" fontId="15" fillId="3" borderId="31" xfId="0" applyNumberFormat="1" applyFont="1" applyFill="1" applyBorder="1" applyAlignment="1">
      <alignment horizontal="left" vertical="top"/>
    </xf>
    <xf numFmtId="1" fontId="15" fillId="0" borderId="0" xfId="0" applyNumberFormat="1" applyFont="1" applyAlignment="1">
      <alignment horizontal="left" vertical="top"/>
    </xf>
    <xf numFmtId="1" fontId="15" fillId="0" borderId="0" xfId="0" applyNumberFormat="1" applyFont="1" applyAlignment="1">
      <alignment horizontal="center" vertical="top"/>
    </xf>
    <xf numFmtId="166" fontId="15" fillId="3" borderId="7" xfId="0" applyNumberFormat="1" applyFont="1" applyFill="1" applyBorder="1" applyAlignment="1">
      <alignment horizontal="left" vertical="top"/>
    </xf>
    <xf numFmtId="166" fontId="15" fillId="3" borderId="0" xfId="0" applyNumberFormat="1" applyFont="1" applyFill="1" applyAlignment="1">
      <alignment horizontal="left" vertical="top"/>
    </xf>
    <xf numFmtId="166" fontId="15" fillId="3" borderId="8" xfId="0" applyNumberFormat="1" applyFont="1" applyFill="1" applyBorder="1" applyAlignment="1">
      <alignment horizontal="left" vertical="top"/>
    </xf>
    <xf numFmtId="0" fontId="15" fillId="0" borderId="0" xfId="0" applyFont="1" applyAlignment="1">
      <alignment horizontal="left" vertical="top"/>
    </xf>
    <xf numFmtId="0" fontId="15" fillId="0" borderId="0" xfId="0" applyFont="1" applyAlignment="1">
      <alignment horizontal="center" vertical="top"/>
    </xf>
    <xf numFmtId="14" fontId="15" fillId="3" borderId="7" xfId="0" applyNumberFormat="1" applyFont="1" applyFill="1" applyBorder="1" applyAlignment="1">
      <alignment horizontal="left" vertical="top"/>
    </xf>
    <xf numFmtId="14" fontId="15" fillId="3" borderId="0" xfId="0" applyNumberFormat="1" applyFont="1" applyFill="1" applyAlignment="1">
      <alignment horizontal="left" vertical="top"/>
    </xf>
    <xf numFmtId="14" fontId="15" fillId="3" borderId="8" xfId="0" applyNumberFormat="1" applyFont="1" applyFill="1" applyBorder="1" applyAlignment="1">
      <alignment horizontal="left" vertical="top"/>
    </xf>
    <xf numFmtId="1" fontId="15" fillId="4" borderId="29" xfId="0" applyNumberFormat="1" applyFont="1" applyFill="1" applyBorder="1" applyAlignment="1">
      <alignment horizontal="left" vertical="top"/>
    </xf>
    <xf numFmtId="1" fontId="15" fillId="4" borderId="30" xfId="0" applyNumberFormat="1" applyFont="1" applyFill="1" applyBorder="1" applyAlignment="1">
      <alignment horizontal="left" vertical="top"/>
    </xf>
    <xf numFmtId="1" fontId="15" fillId="4" borderId="31" xfId="0" applyNumberFormat="1" applyFont="1" applyFill="1" applyBorder="1" applyAlignment="1">
      <alignment horizontal="left" vertical="top"/>
    </xf>
    <xf numFmtId="166" fontId="15" fillId="4" borderId="7" xfId="0" applyNumberFormat="1" applyFont="1" applyFill="1" applyBorder="1" applyAlignment="1">
      <alignment horizontal="left" vertical="top"/>
    </xf>
    <xf numFmtId="166" fontId="15" fillId="4" borderId="0" xfId="0" applyNumberFormat="1" applyFont="1" applyFill="1" applyAlignment="1">
      <alignment horizontal="left" vertical="top"/>
    </xf>
    <xf numFmtId="166" fontId="15" fillId="4" borderId="8" xfId="0" applyNumberFormat="1" applyFont="1" applyFill="1" applyBorder="1" applyAlignment="1">
      <alignment horizontal="left" vertical="top"/>
    </xf>
    <xf numFmtId="14" fontId="15" fillId="4" borderId="7" xfId="0" applyNumberFormat="1" applyFont="1" applyFill="1" applyBorder="1" applyAlignment="1">
      <alignment horizontal="left" vertical="top"/>
    </xf>
    <xf numFmtId="14" fontId="15" fillId="4" borderId="0" xfId="0" applyNumberFormat="1" applyFont="1" applyFill="1" applyAlignment="1">
      <alignment horizontal="left" vertical="top"/>
    </xf>
    <xf numFmtId="14" fontId="15" fillId="4" borderId="8" xfId="0" applyNumberFormat="1" applyFont="1" applyFill="1" applyBorder="1" applyAlignment="1">
      <alignment horizontal="left" vertical="top"/>
    </xf>
    <xf numFmtId="0" fontId="14" fillId="4" borderId="6" xfId="0" applyFont="1" applyFill="1" applyBorder="1" applyAlignment="1">
      <alignment horizontal="center" vertical="center"/>
    </xf>
    <xf numFmtId="0" fontId="14" fillId="4" borderId="6" xfId="0" applyFont="1" applyFill="1" applyBorder="1" applyAlignment="1">
      <alignment horizontal="center" vertical="center" wrapText="1"/>
    </xf>
    <xf numFmtId="0" fontId="15" fillId="4" borderId="0" xfId="0" applyFont="1" applyFill="1" applyAlignment="1">
      <alignment horizontal="center"/>
    </xf>
    <xf numFmtId="0" fontId="8" fillId="0" borderId="0" xfId="0" applyFont="1" applyAlignment="1" applyProtection="1">
      <alignment horizontal="left" vertical="top"/>
      <protection locked="0"/>
    </xf>
    <xf numFmtId="0" fontId="15" fillId="0" borderId="6" xfId="0" applyFont="1" applyBorder="1" applyAlignment="1">
      <alignment horizontal="center" vertical="center"/>
    </xf>
    <xf numFmtId="0" fontId="14" fillId="2" borderId="6" xfId="0" applyFont="1" applyFill="1" applyBorder="1" applyAlignment="1">
      <alignment vertical="center"/>
    </xf>
    <xf numFmtId="166" fontId="15" fillId="2" borderId="6" xfId="0" applyNumberFormat="1" applyFont="1" applyFill="1" applyBorder="1"/>
    <xf numFmtId="0" fontId="15" fillId="2" borderId="6" xfId="0" applyFont="1" applyFill="1" applyBorder="1"/>
    <xf numFmtId="166" fontId="14" fillId="2" borderId="6" xfId="0" applyNumberFormat="1" applyFont="1" applyFill="1" applyBorder="1" applyAlignment="1">
      <alignment vertical="center"/>
    </xf>
    <xf numFmtId="0" fontId="15" fillId="2" borderId="6" xfId="0" applyFont="1" applyFill="1" applyBorder="1" applyAlignment="1">
      <alignment vertical="center"/>
    </xf>
    <xf numFmtId="0" fontId="14" fillId="4" borderId="6" xfId="0" applyFont="1" applyFill="1" applyBorder="1" applyAlignment="1">
      <alignment wrapText="1"/>
    </xf>
    <xf numFmtId="0" fontId="14" fillId="2" borderId="6" xfId="0" applyFont="1" applyFill="1" applyBorder="1" applyAlignment="1">
      <alignment vertical="center" wrapText="1"/>
    </xf>
    <xf numFmtId="0" fontId="15" fillId="0" borderId="6" xfId="0" applyFont="1" applyBorder="1" applyAlignment="1">
      <alignment horizontal="left" vertical="top"/>
    </xf>
    <xf numFmtId="0" fontId="15" fillId="4" borderId="6" xfId="0" applyFont="1" applyFill="1" applyBorder="1" applyAlignment="1">
      <alignment horizontal="left" vertical="top"/>
    </xf>
    <xf numFmtId="2" fontId="15" fillId="4" borderId="6" xfId="0" applyNumberFormat="1" applyFont="1" applyFill="1" applyBorder="1" applyAlignment="1">
      <alignment horizontal="left" vertical="top"/>
    </xf>
    <xf numFmtId="0" fontId="15" fillId="3" borderId="6" xfId="0" applyFont="1" applyFill="1" applyBorder="1" applyAlignment="1">
      <alignment horizontal="left" vertical="top"/>
    </xf>
    <xf numFmtId="2" fontId="15" fillId="3" borderId="6" xfId="0" applyNumberFormat="1" applyFont="1" applyFill="1" applyBorder="1" applyAlignment="1">
      <alignment horizontal="left" vertical="top"/>
    </xf>
    <xf numFmtId="0" fontId="14" fillId="0" borderId="6" xfId="0" quotePrefix="1" applyFont="1" applyBorder="1" applyAlignment="1">
      <alignment horizontal="left" vertical="top"/>
    </xf>
    <xf numFmtId="0" fontId="14" fillId="4" borderId="6" xfId="0" quotePrefix="1" applyFont="1" applyFill="1" applyBorder="1" applyAlignment="1">
      <alignment horizontal="left" vertical="top"/>
    </xf>
    <xf numFmtId="0" fontId="14" fillId="3" borderId="6" xfId="0" quotePrefix="1" applyFont="1" applyFill="1" applyBorder="1" applyAlignment="1">
      <alignment horizontal="left" vertical="top"/>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14" fontId="8" fillId="0" borderId="16" xfId="0" quotePrefix="1" applyNumberFormat="1" applyFont="1" applyBorder="1" applyAlignment="1" applyProtection="1">
      <alignment horizontal="center" vertical="center"/>
      <protection locked="0"/>
    </xf>
    <xf numFmtId="3" fontId="8" fillId="0" borderId="6" xfId="7" applyNumberFormat="1" applyFont="1" applyBorder="1" applyAlignment="1" applyProtection="1">
      <alignment horizontal="center" vertical="center"/>
      <protection locked="0"/>
    </xf>
    <xf numFmtId="0" fontId="15" fillId="0" borderId="6" xfId="8"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14" fontId="8" fillId="0" borderId="20" xfId="0" quotePrefix="1"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4" fontId="8" fillId="0" borderId="6" xfId="0" quotePrefix="1" applyNumberFormat="1" applyFont="1" applyBorder="1" applyAlignment="1" applyProtection="1">
      <alignment horizontal="center" vertical="center"/>
      <protection locked="0"/>
    </xf>
    <xf numFmtId="0" fontId="8" fillId="0" borderId="6" xfId="7"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14" fontId="8" fillId="0" borderId="10" xfId="0" quotePrefix="1" applyNumberFormat="1" applyFont="1" applyBorder="1" applyAlignment="1" applyProtection="1">
      <alignment horizontal="center" vertical="center"/>
      <protection locked="0"/>
    </xf>
    <xf numFmtId="3" fontId="8" fillId="0" borderId="10" xfId="7" applyNumberFormat="1" applyFont="1" applyBorder="1" applyAlignment="1" applyProtection="1">
      <alignment horizontal="center" vertical="center"/>
      <protection locked="0"/>
    </xf>
    <xf numFmtId="0" fontId="8" fillId="0" borderId="10" xfId="7" applyFont="1" applyBorder="1" applyAlignment="1" applyProtection="1">
      <alignment horizontal="center" vertical="center"/>
      <protection locked="0"/>
    </xf>
    <xf numFmtId="0" fontId="15" fillId="0" borderId="0" xfId="10" applyFont="1" applyAlignment="1">
      <alignment vertical="top"/>
    </xf>
    <xf numFmtId="0" fontId="15" fillId="4" borderId="0" xfId="10" applyFont="1" applyFill="1" applyAlignment="1">
      <alignment horizontal="left" vertical="top"/>
    </xf>
    <xf numFmtId="0" fontId="15" fillId="4" borderId="33" xfId="10" applyFont="1" applyFill="1" applyBorder="1" applyAlignment="1">
      <alignment horizontal="left" vertical="top"/>
    </xf>
    <xf numFmtId="0" fontId="15" fillId="3" borderId="32" xfId="10" applyFont="1" applyFill="1" applyBorder="1" applyAlignment="1">
      <alignment horizontal="left" vertical="top"/>
    </xf>
    <xf numFmtId="0" fontId="15" fillId="3" borderId="0" xfId="10" applyFont="1" applyFill="1" applyAlignment="1">
      <alignment horizontal="left" vertical="top"/>
    </xf>
    <xf numFmtId="0" fontId="15" fillId="3" borderId="33" xfId="10" applyFont="1" applyFill="1" applyBorder="1" applyAlignment="1">
      <alignment horizontal="left" vertical="top"/>
    </xf>
    <xf numFmtId="0" fontId="15" fillId="4" borderId="32" xfId="10" applyFont="1" applyFill="1" applyBorder="1" applyAlignment="1">
      <alignment horizontal="left" vertical="top"/>
    </xf>
    <xf numFmtId="14" fontId="15" fillId="4" borderId="35" xfId="10" applyNumberFormat="1" applyFont="1" applyFill="1" applyBorder="1" applyAlignment="1">
      <alignment horizontal="left" vertical="top"/>
    </xf>
    <xf numFmtId="14" fontId="15" fillId="4" borderId="36" xfId="10" applyNumberFormat="1" applyFont="1" applyFill="1" applyBorder="1" applyAlignment="1">
      <alignment horizontal="left" vertical="top"/>
    </xf>
    <xf numFmtId="14" fontId="15" fillId="3" borderId="34" xfId="10" applyNumberFormat="1" applyFont="1" applyFill="1" applyBorder="1" applyAlignment="1">
      <alignment horizontal="left" vertical="top"/>
    </xf>
    <xf numFmtId="14" fontId="15" fillId="3" borderId="35" xfId="10" applyNumberFormat="1" applyFont="1" applyFill="1" applyBorder="1" applyAlignment="1">
      <alignment horizontal="left" vertical="top"/>
    </xf>
    <xf numFmtId="14" fontId="15" fillId="3" borderId="36" xfId="10" applyNumberFormat="1" applyFont="1" applyFill="1" applyBorder="1" applyAlignment="1">
      <alignment horizontal="left" vertical="top"/>
    </xf>
    <xf numFmtId="14" fontId="15" fillId="4" borderId="34" xfId="10" applyNumberFormat="1" applyFont="1" applyFill="1" applyBorder="1" applyAlignment="1">
      <alignment horizontal="left" vertical="top"/>
    </xf>
    <xf numFmtId="0" fontId="14" fillId="2" borderId="6" xfId="10" applyFont="1" applyFill="1" applyBorder="1" applyAlignment="1">
      <alignment horizontal="center" vertical="center" wrapText="1"/>
    </xf>
    <xf numFmtId="0" fontId="14" fillId="2" borderId="6" xfId="10" applyFont="1" applyFill="1" applyBorder="1" applyAlignment="1">
      <alignment horizontal="center" vertical="center"/>
    </xf>
    <xf numFmtId="0" fontId="14" fillId="2" borderId="20" xfId="10" applyFont="1" applyFill="1" applyBorder="1" applyAlignment="1">
      <alignment horizontal="center" vertical="center"/>
    </xf>
    <xf numFmtId="0" fontId="14" fillId="4" borderId="5" xfId="10" applyFont="1" applyFill="1" applyBorder="1" applyAlignment="1">
      <alignment horizontal="center" vertical="center"/>
    </xf>
    <xf numFmtId="0" fontId="14" fillId="4" borderId="6" xfId="10" applyFont="1" applyFill="1" applyBorder="1" applyAlignment="1">
      <alignment horizontal="center" vertical="center"/>
    </xf>
    <xf numFmtId="0" fontId="14" fillId="4" borderId="37" xfId="10" applyFont="1" applyFill="1" applyBorder="1" applyAlignment="1">
      <alignment horizontal="center" vertical="center"/>
    </xf>
    <xf numFmtId="0" fontId="14" fillId="3" borderId="21" xfId="10" applyFont="1" applyFill="1" applyBorder="1" applyAlignment="1">
      <alignment horizontal="center" vertical="center"/>
    </xf>
    <xf numFmtId="0" fontId="14" fillId="3" borderId="6" xfId="10" applyFont="1" applyFill="1" applyBorder="1" applyAlignment="1">
      <alignment horizontal="center" vertical="center"/>
    </xf>
    <xf numFmtId="0" fontId="14" fillId="2" borderId="38" xfId="10" applyFont="1" applyFill="1" applyBorder="1" applyAlignment="1">
      <alignment horizontal="center" vertical="center"/>
    </xf>
    <xf numFmtId="0" fontId="14" fillId="2" borderId="38" xfId="10" applyFont="1" applyFill="1" applyBorder="1" applyAlignment="1">
      <alignment horizontal="center" vertical="center" wrapText="1"/>
    </xf>
    <xf numFmtId="0" fontId="14" fillId="0" borderId="0" xfId="10" applyFont="1" applyAlignment="1">
      <alignment horizontal="center" vertical="center"/>
    </xf>
    <xf numFmtId="0" fontId="15" fillId="0" borderId="6" xfId="10" applyFont="1" applyBorder="1" applyAlignment="1">
      <alignment horizontal="left" vertical="top" wrapText="1"/>
    </xf>
    <xf numFmtId="0" fontId="15" fillId="0" borderId="20" xfId="10" applyFont="1" applyBorder="1" applyAlignment="1">
      <alignment horizontal="left" vertical="top" wrapText="1"/>
    </xf>
    <xf numFmtId="0" fontId="15" fillId="4" borderId="5" xfId="10" applyFont="1" applyFill="1" applyBorder="1" applyAlignment="1">
      <alignment horizontal="left" vertical="top"/>
    </xf>
    <xf numFmtId="0" fontId="15" fillId="4" borderId="6" xfId="10" applyFont="1" applyFill="1" applyBorder="1" applyAlignment="1">
      <alignment horizontal="left" vertical="top"/>
    </xf>
    <xf numFmtId="0" fontId="15" fillId="4" borderId="37" xfId="10" applyFont="1" applyFill="1" applyBorder="1" applyAlignment="1">
      <alignment horizontal="left" vertical="top"/>
    </xf>
    <xf numFmtId="0" fontId="15" fillId="3" borderId="21" xfId="10" applyFont="1" applyFill="1" applyBorder="1" applyAlignment="1">
      <alignment horizontal="left" vertical="top"/>
    </xf>
    <xf numFmtId="0" fontId="15" fillId="3" borderId="6" xfId="10" applyFont="1" applyFill="1" applyBorder="1" applyAlignment="1">
      <alignment horizontal="left" vertical="top"/>
    </xf>
    <xf numFmtId="0" fontId="15" fillId="0" borderId="39" xfId="10" applyFont="1" applyBorder="1" applyAlignment="1">
      <alignment horizontal="left" vertical="top"/>
    </xf>
    <xf numFmtId="0" fontId="15" fillId="0" borderId="0" xfId="10" applyFont="1" applyAlignment="1">
      <alignment horizontal="left" vertical="top"/>
    </xf>
    <xf numFmtId="0" fontId="15" fillId="0" borderId="0" xfId="0" applyFont="1" applyAlignment="1">
      <alignment horizontal="left" vertical="top" wrapText="1"/>
    </xf>
    <xf numFmtId="0" fontId="14" fillId="0" borderId="6" xfId="0" applyFont="1" applyBorder="1" applyAlignment="1">
      <alignment horizontal="left" vertical="top"/>
    </xf>
    <xf numFmtId="0" fontId="14" fillId="0" borderId="42" xfId="0" applyFont="1" applyBorder="1" applyAlignment="1">
      <alignment horizontal="left" vertical="top"/>
    </xf>
    <xf numFmtId="14" fontId="15" fillId="0" borderId="6" xfId="0" applyNumberFormat="1" applyFont="1" applyBorder="1" applyAlignment="1">
      <alignment horizontal="left" vertical="top"/>
    </xf>
    <xf numFmtId="0" fontId="14" fillId="0" borderId="0" xfId="0" applyFont="1" applyAlignment="1">
      <alignment horizontal="left" vertical="top"/>
    </xf>
    <xf numFmtId="0" fontId="22" fillId="0" borderId="35" xfId="0" applyFont="1" applyBorder="1"/>
    <xf numFmtId="0" fontId="22" fillId="0" borderId="0" xfId="0" applyFont="1"/>
    <xf numFmtId="0" fontId="14" fillId="0" borderId="6" xfId="0" applyFont="1" applyBorder="1" applyAlignment="1">
      <alignment horizontal="left" vertical="top" wrapText="1"/>
    </xf>
    <xf numFmtId="0" fontId="15" fillId="2" borderId="6" xfId="0" applyFont="1" applyFill="1" applyBorder="1" applyAlignment="1">
      <alignment horizontal="left" vertical="top"/>
    </xf>
    <xf numFmtId="0" fontId="16" fillId="0" borderId="6" xfId="0" applyFont="1" applyBorder="1" applyAlignment="1">
      <alignment horizontal="left" vertical="top"/>
    </xf>
    <xf numFmtId="0" fontId="14" fillId="2" borderId="6" xfId="0" applyFont="1" applyFill="1" applyBorder="1" applyAlignment="1">
      <alignment horizontal="left" vertical="center"/>
    </xf>
    <xf numFmtId="0" fontId="14" fillId="4" borderId="6" xfId="0" applyFont="1" applyFill="1" applyBorder="1" applyAlignment="1">
      <alignment horizontal="left" wrapText="1"/>
    </xf>
    <xf numFmtId="166" fontId="15" fillId="0" borderId="6" xfId="0" applyNumberFormat="1" applyFont="1" applyBorder="1" applyAlignment="1">
      <alignment horizontal="left" vertical="top"/>
    </xf>
    <xf numFmtId="0" fontId="15" fillId="0" borderId="6" xfId="0" applyFont="1" applyBorder="1" applyAlignment="1">
      <alignment horizontal="left" vertical="top" wrapText="1"/>
    </xf>
    <xf numFmtId="166" fontId="15" fillId="2" borderId="6" xfId="0" applyNumberFormat="1" applyFont="1" applyFill="1" applyBorder="1" applyAlignment="1">
      <alignment horizontal="left" vertical="center"/>
    </xf>
    <xf numFmtId="166" fontId="15" fillId="2" borderId="6" xfId="0" applyNumberFormat="1" applyFont="1" applyFill="1" applyBorder="1" applyAlignment="1">
      <alignment vertical="center"/>
    </xf>
    <xf numFmtId="0" fontId="14" fillId="0" borderId="42" xfId="0" quotePrefix="1" applyFont="1" applyBorder="1" applyAlignment="1">
      <alignment horizontal="left" vertical="top"/>
    </xf>
    <xf numFmtId="0" fontId="15" fillId="0" borderId="21" xfId="0" applyFont="1" applyBorder="1"/>
    <xf numFmtId="166" fontId="15" fillId="0" borderId="35" xfId="0" applyNumberFormat="1" applyFont="1" applyBorder="1"/>
    <xf numFmtId="0" fontId="15" fillId="0" borderId="0" xfId="6" applyFont="1" applyAlignment="1">
      <alignment wrapText="1"/>
    </xf>
    <xf numFmtId="0" fontId="18" fillId="0" borderId="35" xfId="0" applyFont="1" applyBorder="1"/>
    <xf numFmtId="0" fontId="15" fillId="0" borderId="0" xfId="10" applyFont="1" applyAlignment="1">
      <alignment wrapText="1"/>
    </xf>
    <xf numFmtId="1" fontId="15" fillId="0" borderId="6" xfId="8" applyNumberFormat="1" applyFont="1" applyBorder="1" applyAlignment="1" applyProtection="1">
      <alignment horizontal="center" vertical="center"/>
      <protection locked="0"/>
    </xf>
    <xf numFmtId="1" fontId="8" fillId="0" borderId="16" xfId="0" applyNumberFormat="1" applyFont="1" applyBorder="1" applyAlignment="1" applyProtection="1">
      <alignment horizontal="center" vertical="center"/>
      <protection locked="0"/>
    </xf>
    <xf numFmtId="1" fontId="8" fillId="0" borderId="18" xfId="0" applyNumberFormat="1" applyFont="1" applyBorder="1" applyAlignment="1" applyProtection="1">
      <alignment horizontal="center" vertical="center"/>
      <protection locked="0"/>
    </xf>
    <xf numFmtId="1" fontId="8" fillId="0" borderId="19" xfId="0" applyNumberFormat="1" applyFont="1" applyBorder="1" applyAlignment="1" applyProtection="1">
      <alignment horizontal="center" vertical="center"/>
      <protection locked="0"/>
    </xf>
    <xf numFmtId="1" fontId="8" fillId="0" borderId="6" xfId="7" applyNumberFormat="1" applyFont="1" applyBorder="1" applyAlignment="1" applyProtection="1">
      <alignment horizontal="center" vertical="center"/>
      <protection locked="0"/>
    </xf>
    <xf numFmtId="1" fontId="8" fillId="0" borderId="6" xfId="0" applyNumberFormat="1" applyFont="1" applyBorder="1" applyAlignment="1" applyProtection="1">
      <alignment horizontal="center" vertical="center"/>
      <protection locked="0"/>
    </xf>
    <xf numFmtId="1" fontId="8" fillId="0" borderId="7" xfId="0" applyNumberFormat="1" applyFont="1" applyBorder="1" applyAlignment="1" applyProtection="1">
      <alignment horizontal="center" vertical="center"/>
      <protection locked="0"/>
    </xf>
    <xf numFmtId="1" fontId="8" fillId="0" borderId="0" xfId="0" applyNumberFormat="1" applyFont="1" applyAlignment="1" applyProtection="1">
      <alignment horizontal="center" vertical="center"/>
      <protection locked="0"/>
    </xf>
    <xf numFmtId="1" fontId="8" fillId="0" borderId="7" xfId="7" applyNumberFormat="1" applyFont="1" applyBorder="1" applyAlignment="1" applyProtection="1">
      <alignment horizontal="center" vertical="center"/>
      <protection locked="0"/>
    </xf>
    <xf numFmtId="1" fontId="8" fillId="0" borderId="0" xfId="7" applyNumberFormat="1" applyFont="1" applyAlignment="1" applyProtection="1">
      <alignment horizontal="center" vertical="center"/>
      <protection locked="0"/>
    </xf>
    <xf numFmtId="1" fontId="8" fillId="0" borderId="10" xfId="7" applyNumberFormat="1" applyFont="1" applyBorder="1" applyAlignment="1" applyProtection="1">
      <alignment horizontal="center" vertical="center"/>
      <protection locked="0"/>
    </xf>
    <xf numFmtId="1" fontId="8" fillId="0" borderId="10" xfId="0" applyNumberFormat="1" applyFont="1" applyBorder="1" applyAlignment="1" applyProtection="1">
      <alignment horizontal="center" vertical="center"/>
      <protection locked="0"/>
    </xf>
    <xf numFmtId="1" fontId="8" fillId="0" borderId="12" xfId="7" applyNumberFormat="1" applyFont="1" applyBorder="1" applyAlignment="1" applyProtection="1">
      <alignment horizontal="center" vertical="center"/>
      <protection locked="0"/>
    </xf>
    <xf numFmtId="1" fontId="8" fillId="0" borderId="11" xfId="7" applyNumberFormat="1" applyFont="1" applyBorder="1" applyAlignment="1" applyProtection="1">
      <alignment horizontal="center" vertical="center"/>
      <protection locked="0"/>
    </xf>
    <xf numFmtId="1" fontId="15" fillId="0" borderId="18" xfId="8" applyNumberFormat="1" applyFont="1" applyBorder="1" applyAlignment="1" applyProtection="1">
      <alignment horizontal="center" vertical="center"/>
      <protection locked="0"/>
    </xf>
    <xf numFmtId="1" fontId="15" fillId="0" borderId="0" xfId="8" applyNumberFormat="1" applyFont="1" applyAlignment="1" applyProtection="1">
      <alignment horizontal="center" vertical="center"/>
      <protection locked="0"/>
    </xf>
    <xf numFmtId="1" fontId="15" fillId="0" borderId="19" xfId="8" applyNumberFormat="1" applyFont="1" applyBorder="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8" fillId="0" borderId="11" xfId="0" applyNumberFormat="1" applyFont="1" applyBorder="1" applyAlignment="1" applyProtection="1">
      <alignment horizontal="center" vertical="center"/>
      <protection locked="0"/>
    </xf>
    <xf numFmtId="164" fontId="8" fillId="0" borderId="24"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13" xfId="0" applyNumberFormat="1" applyFont="1" applyBorder="1" applyAlignment="1" applyProtection="1">
      <alignment horizontal="center" vertical="center"/>
      <protection locked="0"/>
    </xf>
    <xf numFmtId="0" fontId="15" fillId="0" borderId="0" xfId="10" applyFont="1" applyAlignment="1">
      <alignment horizontal="left" vertical="top" wrapText="1"/>
    </xf>
    <xf numFmtId="0" fontId="14" fillId="0" borderId="6" xfId="0" applyFont="1" applyBorder="1" applyAlignment="1">
      <alignment vertical="top"/>
    </xf>
    <xf numFmtId="0" fontId="14" fillId="0" borderId="42" xfId="0" applyFont="1" applyBorder="1" applyAlignment="1">
      <alignment vertical="top"/>
    </xf>
    <xf numFmtId="0" fontId="22" fillId="0" borderId="41" xfId="0" applyFont="1" applyBorder="1" applyAlignment="1">
      <alignment horizontal="left"/>
    </xf>
    <xf numFmtId="0" fontId="15" fillId="0" borderId="0" xfId="0" applyFont="1" applyAlignment="1">
      <alignment horizontal="left" vertical="top" wrapText="1"/>
    </xf>
    <xf numFmtId="0" fontId="14" fillId="0" borderId="20" xfId="0" applyFont="1" applyBorder="1" applyAlignment="1">
      <alignment horizontal="left" vertical="top"/>
    </xf>
    <xf numFmtId="0" fontId="14" fillId="0" borderId="40" xfId="0" applyFont="1" applyBorder="1" applyAlignment="1">
      <alignment horizontal="left" vertical="top"/>
    </xf>
    <xf numFmtId="0" fontId="14" fillId="0" borderId="21" xfId="0" applyFont="1" applyBorder="1" applyAlignment="1">
      <alignment horizontal="left" vertical="top"/>
    </xf>
    <xf numFmtId="0" fontId="14" fillId="0" borderId="45" xfId="0" applyFont="1" applyBorder="1" applyAlignment="1">
      <alignment horizontal="left"/>
    </xf>
    <xf numFmtId="0" fontId="14" fillId="0" borderId="41" xfId="0" applyFont="1" applyBorder="1" applyAlignment="1">
      <alignment horizontal="left"/>
    </xf>
    <xf numFmtId="0" fontId="15" fillId="0" borderId="0" xfId="6" applyFont="1" applyAlignment="1">
      <alignment horizontal="left" vertical="top" wrapText="1"/>
    </xf>
    <xf numFmtId="0" fontId="14" fillId="0" borderId="35" xfId="0" applyFont="1" applyBorder="1" applyAlignment="1">
      <alignment horizontal="center" vertical="center"/>
    </xf>
    <xf numFmtId="0" fontId="14" fillId="0" borderId="40" xfId="0" applyFont="1" applyBorder="1" applyAlignment="1">
      <alignment horizontal="center" vertical="center"/>
    </xf>
    <xf numFmtId="0" fontId="15" fillId="0" borderId="0" xfId="11" applyFont="1" applyAlignment="1">
      <alignment horizontal="left" vertical="top" wrapText="1"/>
    </xf>
    <xf numFmtId="0" fontId="22" fillId="0" borderId="45" xfId="0" applyFont="1" applyBorder="1" applyAlignment="1">
      <alignment horizontal="left"/>
    </xf>
    <xf numFmtId="0" fontId="14" fillId="0" borderId="43" xfId="0" applyFont="1" applyBorder="1" applyAlignment="1">
      <alignment horizontal="left" vertical="top"/>
    </xf>
    <xf numFmtId="0" fontId="14" fillId="0" borderId="44" xfId="0" applyFont="1" applyBorder="1" applyAlignment="1">
      <alignment horizontal="left" vertical="top"/>
    </xf>
    <xf numFmtId="0" fontId="8" fillId="0" borderId="0" xfId="0" applyFont="1" applyAlignment="1" applyProtection="1">
      <alignment horizontal="left" vertical="top" wrapText="1"/>
    </xf>
    <xf numFmtId="0" fontId="21" fillId="0" borderId="41" xfId="0" applyFont="1" applyBorder="1" applyAlignment="1" applyProtection="1">
      <alignment horizontal="left"/>
    </xf>
    <xf numFmtId="0" fontId="6" fillId="0" borderId="0" xfId="0" applyFont="1" applyProtection="1"/>
    <xf numFmtId="0" fontId="21" fillId="0" borderId="0" xfId="0" applyFont="1" applyAlignment="1" applyProtection="1">
      <alignment horizontal="left" vertical="top"/>
    </xf>
    <xf numFmtId="0" fontId="9" fillId="2" borderId="14"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2" fontId="9" fillId="2" borderId="1" xfId="0" applyNumberFormat="1"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0" xfId="0" applyFont="1" applyFill="1" applyAlignment="1" applyProtection="1">
      <alignment horizontal="center" vertical="center" wrapText="1"/>
    </xf>
    <xf numFmtId="0" fontId="8" fillId="0" borderId="16" xfId="0" applyFont="1" applyBorder="1" applyAlignment="1" applyProtection="1">
      <alignment horizontal="center" vertical="center"/>
    </xf>
    <xf numFmtId="0" fontId="8" fillId="0" borderId="16" xfId="0" applyFont="1" applyBorder="1" applyAlignment="1" applyProtection="1">
      <alignment horizontal="center" vertical="center" wrapText="1"/>
    </xf>
    <xf numFmtId="14" fontId="8" fillId="0" borderId="16" xfId="0" quotePrefix="1" applyNumberFormat="1" applyFont="1" applyBorder="1" applyAlignment="1" applyProtection="1">
      <alignment horizontal="center" vertical="center"/>
    </xf>
    <xf numFmtId="1" fontId="8" fillId="0" borderId="16" xfId="0" applyNumberFormat="1" applyFont="1" applyBorder="1" applyAlignment="1" applyProtection="1">
      <alignment horizontal="center" vertical="center"/>
    </xf>
    <xf numFmtId="1" fontId="8" fillId="0" borderId="18" xfId="0" applyNumberFormat="1" applyFont="1" applyBorder="1" applyAlignment="1" applyProtection="1">
      <alignment horizontal="center" vertical="center"/>
    </xf>
    <xf numFmtId="1" fontId="8" fillId="0" borderId="19" xfId="0" applyNumberFormat="1" applyFont="1" applyBorder="1" applyAlignment="1" applyProtection="1">
      <alignment horizontal="center" vertical="center"/>
    </xf>
    <xf numFmtId="164" fontId="8" fillId="0" borderId="0" xfId="0" applyNumberFormat="1" applyFont="1" applyAlignment="1" applyProtection="1">
      <alignment horizontal="center" vertical="center"/>
    </xf>
    <xf numFmtId="0" fontId="8" fillId="0" borderId="6" xfId="0" applyFont="1" applyBorder="1" applyAlignment="1" applyProtection="1">
      <alignment horizontal="center" vertical="center"/>
    </xf>
    <xf numFmtId="0" fontId="8" fillId="0" borderId="6" xfId="0" applyFont="1" applyBorder="1" applyAlignment="1" applyProtection="1">
      <alignment horizontal="center" vertical="center" wrapText="1"/>
    </xf>
    <xf numFmtId="14" fontId="8" fillId="0" borderId="20" xfId="0" quotePrefix="1" applyNumberFormat="1" applyFont="1" applyBorder="1" applyAlignment="1" applyProtection="1">
      <alignment horizontal="center" vertical="center"/>
    </xf>
    <xf numFmtId="1" fontId="8" fillId="0" borderId="6" xfId="0" applyNumberFormat="1" applyFont="1" applyBorder="1" applyAlignment="1" applyProtection="1">
      <alignment horizontal="center" vertical="center"/>
    </xf>
    <xf numFmtId="1" fontId="8" fillId="0" borderId="7" xfId="0" applyNumberFormat="1" applyFont="1" applyBorder="1" applyAlignment="1" applyProtection="1">
      <alignment horizontal="center" vertical="center"/>
    </xf>
    <xf numFmtId="1" fontId="8" fillId="0" borderId="0" xfId="0" applyNumberFormat="1" applyFont="1" applyAlignment="1" applyProtection="1">
      <alignment horizontal="center" vertical="center"/>
    </xf>
    <xf numFmtId="0" fontId="8" fillId="0" borderId="0" xfId="0" applyFont="1" applyAlignment="1" applyProtection="1">
      <alignment horizontal="center" vertical="center"/>
    </xf>
    <xf numFmtId="14" fontId="8" fillId="0" borderId="6" xfId="0" quotePrefix="1" applyNumberFormat="1"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Border="1" applyAlignment="1" applyProtection="1">
      <alignment horizontal="center" vertical="center" wrapText="1"/>
    </xf>
    <xf numFmtId="14" fontId="8" fillId="0" borderId="10" xfId="0" quotePrefix="1" applyNumberFormat="1" applyFont="1" applyBorder="1" applyAlignment="1" applyProtection="1">
      <alignment horizontal="center" vertical="center"/>
    </xf>
    <xf numFmtId="1" fontId="8" fillId="0" borderId="10" xfId="0" applyNumberFormat="1" applyFont="1" applyBorder="1" applyAlignment="1" applyProtection="1">
      <alignment horizontal="center" vertical="center"/>
    </xf>
    <xf numFmtId="164" fontId="8" fillId="0" borderId="11" xfId="0" applyNumberFormat="1" applyFont="1" applyBorder="1" applyAlignment="1" applyProtection="1">
      <alignment horizontal="center" vertical="center"/>
    </xf>
    <xf numFmtId="0" fontId="9" fillId="0" borderId="0" xfId="0" applyFont="1" applyAlignment="1" applyProtection="1">
      <alignment horizontal="left" vertical="top"/>
    </xf>
    <xf numFmtId="1" fontId="8" fillId="0" borderId="15" xfId="0" applyNumberFormat="1" applyFont="1" applyBorder="1" applyAlignment="1" applyProtection="1">
      <alignment horizontal="center" vertical="center"/>
    </xf>
    <xf numFmtId="1" fontId="8" fillId="0" borderId="17" xfId="0" applyNumberFormat="1" applyFont="1" applyBorder="1" applyAlignment="1" applyProtection="1">
      <alignment horizontal="center" vertical="center"/>
    </xf>
    <xf numFmtId="164" fontId="8" fillId="0" borderId="19" xfId="0" applyNumberFormat="1" applyFont="1" applyBorder="1" applyAlignment="1" applyProtection="1">
      <alignment horizontal="center" vertical="center"/>
    </xf>
    <xf numFmtId="0" fontId="8" fillId="0" borderId="17" xfId="0" applyFont="1" applyBorder="1" applyAlignment="1" applyProtection="1">
      <alignment horizontal="center" vertical="center" wrapText="1"/>
    </xf>
    <xf numFmtId="0" fontId="8" fillId="0" borderId="0" xfId="0" applyFont="1" applyProtection="1"/>
    <xf numFmtId="1" fontId="8" fillId="0" borderId="5" xfId="0" applyNumberFormat="1"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5" xfId="0" applyFont="1" applyBorder="1" applyAlignment="1" applyProtection="1">
      <alignment horizontal="center" vertical="center" wrapText="1"/>
    </xf>
    <xf numFmtId="1" fontId="8" fillId="0" borderId="9" xfId="0" applyNumberFormat="1" applyFont="1" applyBorder="1" applyAlignment="1" applyProtection="1">
      <alignment horizontal="center" vertical="center"/>
    </xf>
    <xf numFmtId="1" fontId="8" fillId="0" borderId="12" xfId="0" applyNumberFormat="1" applyFont="1" applyBorder="1" applyAlignment="1" applyProtection="1">
      <alignment horizontal="center" vertical="center"/>
    </xf>
    <xf numFmtId="1" fontId="8" fillId="0" borderId="11" xfId="0" applyNumberFormat="1" applyFont="1" applyBorder="1" applyAlignment="1" applyProtection="1">
      <alignment horizontal="center" vertical="center"/>
    </xf>
    <xf numFmtId="0" fontId="8" fillId="0" borderId="27"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0" applyFont="1" applyAlignment="1" applyProtection="1">
      <alignment horizontal="center"/>
    </xf>
    <xf numFmtId="1" fontId="9" fillId="0" borderId="0" xfId="0" quotePrefix="1" applyNumberFormat="1" applyFont="1" applyAlignment="1" applyProtection="1">
      <alignment horizontal="center"/>
    </xf>
    <xf numFmtId="0" fontId="9" fillId="0" borderId="0" xfId="0" applyFont="1" applyProtection="1"/>
    <xf numFmtId="164" fontId="9" fillId="0" borderId="0" xfId="0" quotePrefix="1" applyNumberFormat="1" applyFont="1" applyAlignment="1" applyProtection="1">
      <alignment horizontal="center"/>
    </xf>
    <xf numFmtId="2" fontId="9" fillId="0" borderId="0" xfId="0" applyNumberFormat="1" applyFont="1" applyAlignment="1" applyProtection="1">
      <alignment horizontal="center"/>
    </xf>
    <xf numFmtId="164" fontId="9" fillId="0" borderId="0" xfId="0" applyNumberFormat="1" applyFont="1" applyAlignment="1" applyProtection="1">
      <alignment horizontal="center"/>
    </xf>
    <xf numFmtId="0" fontId="9" fillId="0" borderId="0" xfId="0" applyFont="1" applyAlignment="1" applyProtection="1">
      <alignment horizontal="right"/>
    </xf>
    <xf numFmtId="0" fontId="8" fillId="0" borderId="0" xfId="0" applyFont="1" applyAlignment="1" applyProtection="1">
      <alignment horizontal="right"/>
    </xf>
    <xf numFmtId="1" fontId="8" fillId="0" borderId="0" xfId="0" applyNumberFormat="1" applyFont="1" applyAlignment="1" applyProtection="1">
      <alignment horizontal="center"/>
    </xf>
    <xf numFmtId="164" fontId="8" fillId="0" borderId="0" xfId="0" applyNumberFormat="1" applyFont="1" applyAlignment="1" applyProtection="1">
      <alignment horizontal="center"/>
    </xf>
    <xf numFmtId="0" fontId="10" fillId="0" borderId="0" xfId="0" applyFont="1" applyAlignment="1" applyProtection="1">
      <alignment horizontal="right"/>
    </xf>
    <xf numFmtId="2" fontId="8" fillId="0" borderId="0" xfId="0" applyNumberFormat="1" applyFont="1" applyProtection="1"/>
    <xf numFmtId="15" fontId="9" fillId="0" borderId="0" xfId="0" applyNumberFormat="1" applyFont="1" applyAlignment="1" applyProtection="1">
      <alignment horizontal="right"/>
    </xf>
    <xf numFmtId="2" fontId="8" fillId="0" borderId="0" xfId="0" applyNumberFormat="1" applyFont="1" applyAlignment="1" applyProtection="1">
      <alignment horizontal="center"/>
    </xf>
    <xf numFmtId="0" fontId="8" fillId="0" borderId="0" xfId="0" applyFont="1" applyAlignment="1" applyProtection="1">
      <alignment horizontal="right" vertical="center"/>
    </xf>
    <xf numFmtId="15" fontId="9" fillId="0" borderId="0" xfId="0" applyNumberFormat="1" applyFont="1" applyAlignment="1" applyProtection="1">
      <alignment horizontal="left"/>
    </xf>
    <xf numFmtId="0" fontId="9" fillId="0" borderId="0" xfId="0" applyFont="1" applyAlignment="1" applyProtection="1">
      <alignment horizontal="right" vertical="center"/>
    </xf>
    <xf numFmtId="0" fontId="8" fillId="0" borderId="0" xfId="0" applyFont="1" applyAlignment="1" applyProtection="1">
      <alignment horizontal="center" vertical="center" wrapText="1"/>
    </xf>
    <xf numFmtId="164" fontId="8" fillId="0" borderId="0" xfId="0" quotePrefix="1" applyNumberFormat="1" applyFont="1" applyAlignment="1" applyProtection="1">
      <alignment horizontal="center"/>
    </xf>
    <xf numFmtId="164" fontId="9" fillId="0" borderId="0" xfId="0" applyNumberFormat="1" applyFont="1" applyProtection="1"/>
    <xf numFmtId="9" fontId="8" fillId="0" borderId="0" xfId="0" applyNumberFormat="1" applyFont="1" applyAlignment="1" applyProtection="1">
      <alignment horizontal="center" vertical="center"/>
    </xf>
    <xf numFmtId="9" fontId="8" fillId="0" borderId="0" xfId="0" applyNumberFormat="1" applyFont="1" applyAlignment="1" applyProtection="1">
      <alignment horizontal="center"/>
    </xf>
    <xf numFmtId="0" fontId="10" fillId="0" borderId="0" xfId="0" applyFont="1" applyAlignment="1" applyProtection="1">
      <alignment horizontal="center"/>
    </xf>
    <xf numFmtId="2" fontId="10" fillId="0" borderId="0" xfId="0" applyNumberFormat="1" applyFont="1" applyProtection="1"/>
    <xf numFmtId="0" fontId="10" fillId="0" borderId="0" xfId="0" applyFont="1" applyProtection="1"/>
    <xf numFmtId="0" fontId="8" fillId="0" borderId="0" xfId="0" applyFont="1" applyAlignment="1" applyProtection="1">
      <alignment horizontal="center" vertical="center" wrapText="1"/>
    </xf>
    <xf numFmtId="165" fontId="8" fillId="0" borderId="0" xfId="0" applyNumberFormat="1" applyFont="1" applyAlignment="1" applyProtection="1">
      <alignment horizontal="center"/>
    </xf>
    <xf numFmtId="0" fontId="9" fillId="0" borderId="0" xfId="0" applyFont="1" applyAlignment="1" applyProtection="1">
      <alignment horizontal="center" vertical="center" wrapText="1"/>
    </xf>
    <xf numFmtId="0" fontId="0" fillId="0" borderId="0" xfId="0" applyProtection="1"/>
    <xf numFmtId="0" fontId="0" fillId="0" borderId="0" xfId="0" applyAlignment="1" applyProtection="1">
      <alignment horizontal="center"/>
    </xf>
    <xf numFmtId="2" fontId="0" fillId="0" borderId="0" xfId="0" applyNumberFormat="1" applyProtection="1"/>
    <xf numFmtId="0" fontId="0" fillId="0" borderId="0" xfId="0" applyAlignment="1" applyProtection="1">
      <alignment horizontal="right"/>
    </xf>
    <xf numFmtId="2" fontId="0" fillId="0" borderId="0" xfId="0" applyNumberFormat="1" applyAlignment="1" applyProtection="1">
      <alignment horizontal="center"/>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15" fillId="0" borderId="0" xfId="6" applyFont="1" applyAlignment="1" applyProtection="1">
      <alignment horizontal="left" vertical="top" wrapText="1"/>
      <protection locked="0"/>
    </xf>
    <xf numFmtId="0" fontId="15" fillId="0" borderId="0" xfId="6" applyFont="1" applyAlignment="1" applyProtection="1">
      <alignment vertical="top" wrapText="1"/>
      <protection locked="0"/>
    </xf>
    <xf numFmtId="0" fontId="14" fillId="0" borderId="45" xfId="0" applyFont="1" applyBorder="1" applyAlignment="1" applyProtection="1">
      <alignment horizontal="left"/>
      <protection locked="0"/>
    </xf>
    <xf numFmtId="0" fontId="14" fillId="0" borderId="41" xfId="0" applyFont="1" applyBorder="1" applyAlignment="1" applyProtection="1">
      <alignment horizontal="left"/>
      <protection locked="0"/>
    </xf>
    <xf numFmtId="0" fontId="14" fillId="0" borderId="0" xfId="0" applyFont="1" applyProtection="1">
      <protection locked="0"/>
    </xf>
    <xf numFmtId="0" fontId="14" fillId="0" borderId="21" xfId="0" applyFont="1" applyBorder="1" applyProtection="1">
      <protection locked="0"/>
    </xf>
    <xf numFmtId="0" fontId="14" fillId="0" borderId="6" xfId="0" applyFont="1" applyBorder="1" applyProtection="1">
      <protection locked="0"/>
    </xf>
    <xf numFmtId="0" fontId="14" fillId="0" borderId="42"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15" fillId="0" borderId="6" xfId="0" applyFont="1" applyBorder="1" applyAlignment="1" applyProtection="1">
      <alignment horizontal="center" vertical="center"/>
      <protection locked="0"/>
    </xf>
    <xf numFmtId="0" fontId="14" fillId="0" borderId="6" xfId="0" applyFont="1" applyBorder="1" applyAlignment="1" applyProtection="1">
      <alignment horizontal="left" vertical="top"/>
      <protection locked="0"/>
    </xf>
    <xf numFmtId="0" fontId="15" fillId="0" borderId="6" xfId="0" applyFont="1" applyBorder="1" applyProtection="1">
      <protection locked="0"/>
    </xf>
    <xf numFmtId="14" fontId="15" fillId="0" borderId="6" xfId="0" applyNumberFormat="1" applyFont="1" applyBorder="1" applyAlignment="1" applyProtection="1">
      <alignment horizontal="left" vertical="top"/>
      <protection locked="0"/>
    </xf>
    <xf numFmtId="14" fontId="15" fillId="0" borderId="6" xfId="0" applyNumberFormat="1" applyFont="1" applyBorder="1" applyProtection="1">
      <protection locked="0"/>
    </xf>
    <xf numFmtId="0" fontId="14" fillId="2" borderId="6" xfId="0" applyFont="1" applyFill="1" applyBorder="1" applyAlignment="1" applyProtection="1">
      <alignment vertical="center"/>
      <protection locked="0"/>
    </xf>
    <xf numFmtId="166" fontId="15" fillId="2" borderId="6" xfId="0" applyNumberFormat="1" applyFont="1" applyFill="1" applyBorder="1" applyProtection="1">
      <protection locked="0"/>
    </xf>
    <xf numFmtId="0" fontId="15" fillId="2" borderId="6" xfId="0" applyFont="1" applyFill="1" applyBorder="1" applyProtection="1">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4" fillId="2" borderId="6" xfId="0" applyFont="1" applyFill="1" applyBorder="1" applyAlignment="1" applyProtection="1">
      <alignment vertical="center"/>
    </xf>
    <xf numFmtId="166" fontId="15" fillId="2" borderId="6" xfId="0" applyNumberFormat="1" applyFont="1" applyFill="1" applyBorder="1" applyProtection="1"/>
    <xf numFmtId="0" fontId="15" fillId="2" borderId="6" xfId="0" applyFont="1" applyFill="1" applyBorder="1" applyProtection="1"/>
    <xf numFmtId="0" fontId="14" fillId="0" borderId="6" xfId="0" applyFont="1" applyBorder="1" applyAlignment="1" applyProtection="1">
      <alignment horizontal="left" vertical="top"/>
    </xf>
    <xf numFmtId="2" fontId="15" fillId="0" borderId="6" xfId="0" applyNumberFormat="1" applyFont="1" applyBorder="1" applyAlignment="1" applyProtection="1">
      <alignment horizontal="left" vertical="top"/>
    </xf>
    <xf numFmtId="0" fontId="15" fillId="0" borderId="6" xfId="0" applyFont="1" applyBorder="1" applyAlignment="1" applyProtection="1">
      <alignment horizontal="left" vertical="top"/>
    </xf>
    <xf numFmtId="9" fontId="15" fillId="0" borderId="6" xfId="3" applyFont="1" applyBorder="1" applyAlignment="1" applyProtection="1">
      <alignment horizontal="left" vertical="top"/>
    </xf>
    <xf numFmtId="2" fontId="15" fillId="0" borderId="6" xfId="3" applyNumberFormat="1" applyFont="1" applyBorder="1" applyAlignment="1" applyProtection="1">
      <alignment horizontal="left" vertical="top"/>
    </xf>
  </cellXfs>
  <cellStyles count="12">
    <cellStyle name="Comma 2" xfId="9" xr:uid="{DDDE8618-DCB4-45D5-BDD4-D8BEA6D303EA}"/>
    <cellStyle name="Normal" xfId="0" builtinId="0"/>
    <cellStyle name="Normal 10" xfId="4" xr:uid="{94A4B7C7-6825-426B-822F-2C2F29FB29B5}"/>
    <cellStyle name="Normal 2" xfId="1" xr:uid="{00000000-0005-0000-0000-000001000000}"/>
    <cellStyle name="Normal 2 2" xfId="2" xr:uid="{00000000-0005-0000-0000-000002000000}"/>
    <cellStyle name="Normal 2 2 2" xfId="8" xr:uid="{F9162755-0EA0-48C1-A4DA-F4DC8DBDD4D8}"/>
    <cellStyle name="Normal 2 3" xfId="7" xr:uid="{E48175DD-2A72-4D02-BE77-4ECE8C51B83F}"/>
    <cellStyle name="Normal 3" xfId="6" xr:uid="{5C1E29FD-927B-477F-B4B8-B566C18BEBEF}"/>
    <cellStyle name="Normal 3 2" xfId="10" xr:uid="{A5D060EF-AC60-466D-A981-12F7E9AB0510}"/>
    <cellStyle name="Normal 3 3" xfId="11" xr:uid="{C22E60B2-2AE6-42AE-9C7A-8BCE1C4FA03D}"/>
    <cellStyle name="Normal 86" xfId="5" xr:uid="{ABC5DB30-A6FC-45BA-9988-0DD306A1AD24}"/>
    <cellStyle name="Percent" xfId="3" builtinId="5"/>
  </cellStyles>
  <dxfs count="6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border>
        <left style="thin">
          <color indexed="10"/>
        </left>
        <right style="thin">
          <color indexed="10"/>
        </right>
        <top style="thin">
          <color indexed="10"/>
        </top>
        <bottom style="thin">
          <color indexed="10"/>
        </bottom>
      </border>
    </dxf>
    <dxf>
      <font>
        <condense val="0"/>
        <extend val="0"/>
        <color indexed="10"/>
      </font>
      <border>
        <left/>
        <right/>
        <top/>
        <bottom/>
      </border>
    </dxf>
    <dxf>
      <font>
        <b/>
        <i/>
        <color rgb="FFFF0000"/>
      </font>
      <fill>
        <patternFill>
          <bgColor rgb="FFFFC000"/>
        </patternFill>
      </fill>
    </dxf>
    <dxf>
      <font>
        <condense val="0"/>
        <extend val="0"/>
        <color auto="1"/>
      </font>
      <border>
        <left style="thin">
          <color indexed="10"/>
        </left>
        <right style="thin">
          <color indexed="10"/>
        </right>
        <top style="thin">
          <color indexed="10"/>
        </top>
        <bottom style="thin">
          <color indexed="10"/>
        </bottom>
      </border>
    </dxf>
    <dxf>
      <font>
        <condense val="0"/>
        <extend val="0"/>
        <color indexed="10"/>
      </font>
      <border>
        <left/>
        <right/>
        <top/>
        <bottom/>
      </border>
    </dxf>
    <dxf>
      <font>
        <condense val="0"/>
        <extend val="0"/>
        <color auto="1"/>
      </font>
      <border>
        <left style="thin">
          <color indexed="10"/>
        </left>
        <right style="thin">
          <color indexed="10"/>
        </right>
        <top style="thin">
          <color indexed="10"/>
        </top>
        <bottom style="thin">
          <color indexed="10"/>
        </bottom>
      </border>
    </dxf>
    <dxf>
      <font>
        <strike val="0"/>
        <condense val="0"/>
        <extend val="0"/>
        <color indexed="10"/>
      </font>
    </dxf>
    <dxf>
      <font>
        <b/>
        <i/>
        <color rgb="FFFF0000"/>
      </font>
      <fill>
        <patternFill>
          <bgColor rgb="FFFFC000"/>
        </patternFill>
      </fill>
    </dxf>
    <dxf>
      <font>
        <condense val="0"/>
        <extend val="0"/>
        <color auto="1"/>
      </font>
      <border>
        <left style="thin">
          <color indexed="10"/>
        </left>
        <right style="thin">
          <color indexed="10"/>
        </right>
        <top style="thin">
          <color indexed="10"/>
        </top>
        <bottom style="thin">
          <color indexed="10"/>
        </bottom>
      </border>
    </dxf>
    <dxf>
      <font>
        <strike val="0"/>
        <condense val="0"/>
        <extend val="0"/>
        <color indexed="10"/>
      </font>
    </dxf>
    <dxf>
      <font>
        <b/>
        <i/>
        <color rgb="FFFF0000"/>
      </font>
      <fill>
        <patternFill>
          <bgColor rgb="FFFFC000"/>
        </patternFill>
      </fill>
    </dxf>
    <dxf>
      <fill>
        <patternFill patternType="lightUp">
          <fgColor indexed="10"/>
          <bgColor indexed="65"/>
        </patternFill>
      </fill>
      <border>
        <left/>
        <right/>
        <top/>
        <bottom/>
      </border>
    </dxf>
    <dxf>
      <font>
        <condense val="0"/>
        <extend val="0"/>
        <color indexed="10"/>
      </font>
    </dxf>
    <dxf>
      <border>
        <left style="thin">
          <color indexed="10"/>
        </left>
        <right style="thin">
          <color indexed="10"/>
        </right>
        <top style="thin">
          <color indexed="10"/>
        </top>
        <bottom style="thin">
          <color indexed="10"/>
        </bottom>
      </border>
    </dxf>
    <dxf>
      <border>
        <left style="thin">
          <color indexed="10"/>
        </left>
        <right style="thin">
          <color indexed="10"/>
        </right>
        <top style="thin">
          <color indexed="10"/>
        </top>
        <bottom style="thin">
          <color indexed="10"/>
        </bottom>
      </border>
    </dxf>
    <dxf>
      <font>
        <condense val="0"/>
        <extend val="0"/>
        <color indexed="10"/>
      </font>
    </dxf>
    <dxf>
      <font>
        <strike val="0"/>
        <condense val="0"/>
        <extend val="0"/>
        <color indexed="10"/>
      </font>
    </dxf>
    <dxf>
      <font>
        <condense val="0"/>
        <extend val="0"/>
        <color auto="1"/>
      </font>
      <border>
        <left style="thin">
          <color indexed="10"/>
        </left>
        <right style="thin">
          <color indexed="10"/>
        </right>
        <top style="thin">
          <color indexed="10"/>
        </top>
        <bottom style="thin">
          <color indexed="10"/>
        </bottom>
      </border>
    </dxf>
    <dxf>
      <font>
        <b/>
        <i/>
        <color rgb="FFFF0000"/>
      </font>
      <fill>
        <patternFill>
          <bgColor rgb="FFFFC000"/>
        </patternFill>
      </fill>
    </dxf>
    <dxf>
      <font>
        <condense val="0"/>
        <extend val="0"/>
        <color auto="1"/>
      </font>
      <border>
        <left style="thin">
          <color indexed="10"/>
        </left>
        <right style="thin">
          <color indexed="10"/>
        </right>
        <top style="thin">
          <color indexed="10"/>
        </top>
        <bottom style="thin">
          <color indexed="10"/>
        </bottom>
      </border>
    </dxf>
    <dxf>
      <font>
        <condense val="0"/>
        <extend val="0"/>
        <color indexed="10"/>
      </font>
      <border>
        <left/>
        <right/>
        <top/>
        <bottom/>
      </border>
    </dxf>
    <dxf>
      <border>
        <left style="thin">
          <color indexed="10"/>
        </left>
        <right style="thin">
          <color indexed="10"/>
        </right>
        <top style="thin">
          <color indexed="10"/>
        </top>
        <bottom style="thin">
          <color indexed="10"/>
        </bottom>
      </border>
    </dxf>
    <dxf>
      <font>
        <strike val="0"/>
        <condense val="0"/>
        <extend val="0"/>
        <color indexed="10"/>
      </font>
    </dxf>
    <dxf>
      <font>
        <condense val="0"/>
        <extend val="0"/>
        <color auto="1"/>
      </font>
      <border>
        <left style="thin">
          <color indexed="10"/>
        </left>
        <right style="thin">
          <color indexed="10"/>
        </right>
        <top style="thin">
          <color indexed="10"/>
        </top>
        <bottom style="thin">
          <color indexed="10"/>
        </bottom>
      </border>
    </dxf>
    <dxf>
      <font>
        <b/>
        <i/>
        <color rgb="FFFF0000"/>
      </font>
      <fill>
        <patternFill>
          <bgColor rgb="FFFFC000"/>
        </patternFill>
      </fill>
    </dxf>
    <dxf>
      <font>
        <condense val="0"/>
        <extend val="0"/>
        <color auto="1"/>
      </font>
      <border>
        <left style="thin">
          <color indexed="10"/>
        </left>
        <right style="thin">
          <color indexed="10"/>
        </right>
        <top style="thin">
          <color indexed="10"/>
        </top>
        <bottom style="thin">
          <color indexed="10"/>
        </bottom>
      </border>
    </dxf>
    <dxf>
      <font>
        <strike val="0"/>
        <condense val="0"/>
        <extend val="0"/>
        <color indexed="10"/>
      </font>
    </dxf>
    <dxf>
      <font>
        <b/>
        <i/>
        <color rgb="FFFF0000"/>
      </font>
      <fill>
        <patternFill>
          <bgColor rgb="FFFFC000"/>
        </patternFill>
      </fill>
    </dxf>
    <dxf>
      <fill>
        <patternFill patternType="lightUp">
          <fgColor indexed="10"/>
        </patternFill>
      </fill>
      <border>
        <left/>
        <right/>
        <top/>
        <bottom/>
      </border>
    </dxf>
    <dxf>
      <font>
        <condense val="0"/>
        <extend val="0"/>
        <color indexed="10"/>
      </font>
    </dxf>
    <dxf>
      <border>
        <left style="thin">
          <color indexed="10"/>
        </left>
        <right style="thin">
          <color indexed="10"/>
        </right>
        <top style="thin">
          <color indexed="10"/>
        </top>
        <bottom style="thin">
          <color indexed="10"/>
        </bottom>
      </border>
    </dxf>
    <dxf>
      <font>
        <strike val="0"/>
        <condense val="0"/>
        <extend val="0"/>
        <color indexed="10"/>
      </font>
    </dxf>
    <dxf>
      <font>
        <condense val="0"/>
        <extend val="0"/>
        <color auto="1"/>
      </font>
      <border>
        <left style="thin">
          <color indexed="10"/>
        </left>
        <right style="thin">
          <color indexed="10"/>
        </right>
        <top style="thin">
          <color indexed="10"/>
        </top>
        <bottom style="thin">
          <color indexed="10"/>
        </bottom>
      </border>
    </dxf>
    <dxf>
      <font>
        <b/>
        <i/>
        <color rgb="FFFF0000"/>
      </font>
      <fill>
        <patternFill>
          <bgColor rgb="FFFFC000"/>
        </patternFill>
      </fill>
    </dxf>
    <dxf>
      <font>
        <strike val="0"/>
        <condense val="0"/>
        <extend val="0"/>
        <color indexed="10"/>
      </font>
    </dxf>
    <dxf>
      <font>
        <condense val="0"/>
        <extend val="0"/>
        <color auto="1"/>
      </font>
      <border>
        <left style="thin">
          <color indexed="10"/>
        </left>
        <right style="thin">
          <color indexed="10"/>
        </right>
        <top style="thin">
          <color indexed="10"/>
        </top>
        <bottom style="thin">
          <color indexed="10"/>
        </bottom>
      </border>
    </dxf>
    <dxf>
      <font>
        <b/>
        <i/>
        <color rgb="FFFF0000"/>
      </font>
      <fill>
        <patternFill>
          <bgColor rgb="FFFFC000"/>
        </patternFill>
      </fill>
    </dxf>
    <dxf>
      <fill>
        <patternFill patternType="lightUp">
          <fgColor indexed="10"/>
        </patternFill>
      </fill>
      <border>
        <left/>
        <right/>
        <top/>
        <bottom/>
      </border>
    </dxf>
    <dxf>
      <font>
        <condense val="0"/>
        <extend val="0"/>
        <color auto="1"/>
      </font>
      <border>
        <left style="thin">
          <color indexed="10"/>
        </left>
        <right style="thin">
          <color indexed="10"/>
        </right>
        <top style="thin">
          <color indexed="10"/>
        </top>
        <bottom style="thin">
          <color indexed="10"/>
        </bottom>
      </border>
    </dxf>
    <dxf>
      <font>
        <condense val="0"/>
        <extend val="0"/>
        <color indexed="10"/>
      </font>
      <border>
        <left/>
        <right/>
        <top/>
        <bottom/>
      </border>
    </dxf>
    <dxf>
      <font>
        <condense val="0"/>
        <extend val="0"/>
        <color indexed="10"/>
      </font>
    </dxf>
    <dxf>
      <font>
        <condense val="0"/>
        <extend val="0"/>
        <color indexed="10"/>
      </font>
    </dxf>
    <dxf>
      <font>
        <b/>
        <i/>
        <color rgb="FFFF0000"/>
      </font>
      <fill>
        <patternFill>
          <bgColor rgb="FFFFC000"/>
        </patternFill>
      </fill>
    </dxf>
    <dxf>
      <font>
        <condense val="0"/>
        <extend val="0"/>
        <color indexed="10"/>
      </font>
    </dxf>
    <dxf>
      <border>
        <left style="thin">
          <color indexed="10"/>
        </left>
        <right style="thin">
          <color indexed="10"/>
        </right>
        <top style="thin">
          <color indexed="10"/>
        </top>
        <bottom style="thin">
          <color indexed="10"/>
        </bottom>
      </border>
    </dxf>
    <dxf>
      <font>
        <b/>
        <i/>
        <color rgb="FFFF0000"/>
      </font>
    </dxf>
    <dxf>
      <font>
        <condense val="0"/>
        <extend val="0"/>
        <color indexed="10"/>
      </font>
    </dxf>
    <dxf>
      <font>
        <b/>
        <i/>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0" tint="-0.2499465926084170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E527-818D-427B-A694-88DD4F3DA5AF}">
  <dimension ref="A1:CK128"/>
  <sheetViews>
    <sheetView tabSelected="1" zoomScale="80" zoomScaleNormal="80" workbookViewId="0">
      <selection activeCell="C5" sqref="C5"/>
    </sheetView>
  </sheetViews>
  <sheetFormatPr defaultColWidth="0" defaultRowHeight="12.5" zeroHeight="1" x14ac:dyDescent="0.25"/>
  <cols>
    <col min="1" max="1" width="8.7265625" style="266" customWidth="1"/>
    <col min="2" max="2" width="10.7265625" style="266" customWidth="1"/>
    <col min="3" max="6" width="28.7265625" style="266" customWidth="1"/>
    <col min="7" max="7" width="30.7265625" style="266" customWidth="1"/>
    <col min="8" max="9" width="28.7265625" style="266" customWidth="1"/>
    <col min="10" max="10" width="16.7265625" style="266" customWidth="1"/>
    <col min="11" max="11" width="16.7265625" style="268" customWidth="1"/>
    <col min="12" max="12" width="28.7265625" style="266" customWidth="1"/>
    <col min="13" max="13" width="16.7265625" style="266" customWidth="1"/>
    <col min="14" max="15" width="11.7265625" style="266" customWidth="1"/>
    <col min="16" max="16" width="16.26953125" style="266" bestFit="1" customWidth="1"/>
    <col min="17" max="17" width="15.7265625" style="266" bestFit="1" customWidth="1"/>
    <col min="18" max="18" width="15" style="266" customWidth="1"/>
    <col min="19" max="19" width="13.7265625" style="266" bestFit="1" customWidth="1"/>
    <col min="20" max="20" width="13.453125" style="266" bestFit="1" customWidth="1"/>
    <col min="21" max="21" width="15.453125" style="266" bestFit="1" customWidth="1"/>
    <col min="22" max="22" width="14.26953125" style="266" bestFit="1" customWidth="1"/>
    <col min="23" max="23" width="13.7265625" style="266" bestFit="1" customWidth="1"/>
    <col min="24" max="24" width="13.26953125" style="266" customWidth="1"/>
    <col min="25" max="25" width="18" style="266" bestFit="1" customWidth="1"/>
    <col min="26" max="26" width="17.54296875" style="266" bestFit="1" customWidth="1"/>
    <col min="27" max="27" width="16.7265625" style="266" bestFit="1" customWidth="1"/>
    <col min="28" max="28" width="18" style="266" bestFit="1" customWidth="1"/>
    <col min="29" max="29" width="17.54296875" style="266" bestFit="1" customWidth="1"/>
    <col min="30" max="30" width="16.7265625" style="266" customWidth="1"/>
    <col min="31" max="31" width="18" style="266" bestFit="1" customWidth="1"/>
    <col min="32" max="32" width="17.54296875" style="266" bestFit="1" customWidth="1"/>
    <col min="33" max="33" width="16.7265625" style="266" customWidth="1"/>
    <col min="34" max="34" width="15.7265625" style="266" bestFit="1" customWidth="1"/>
    <col min="35" max="35" width="15.453125" style="266" bestFit="1" customWidth="1"/>
    <col min="36" max="36" width="14.7265625" style="266" customWidth="1"/>
    <col min="37" max="37" width="14" style="266" bestFit="1" customWidth="1"/>
    <col min="38" max="38" width="13.54296875" style="266" bestFit="1" customWidth="1"/>
    <col min="39" max="40" width="12.7265625" style="266" bestFit="1" customWidth="1"/>
    <col min="41" max="41" width="16.26953125" style="266" customWidth="1"/>
    <col min="42" max="42" width="13.26953125" style="266" customWidth="1"/>
    <col min="43" max="43" width="33.54296875" style="266" customWidth="1"/>
    <col min="44" max="44" width="35.453125" style="266" customWidth="1"/>
    <col min="45" max="89" width="0" style="266" hidden="1" customWidth="1"/>
    <col min="90" max="16384" width="9.26953125" style="266" hidden="1"/>
  </cols>
  <sheetData>
    <row r="1" spans="1:55" s="187" customFormat="1" ht="63" customHeight="1" x14ac:dyDescent="0.25">
      <c r="A1" s="187" t="s">
        <v>940</v>
      </c>
    </row>
    <row r="2" spans="1:55" s="189" customFormat="1" ht="30" customHeight="1" thickBot="1" x14ac:dyDescent="0.45">
      <c r="A2" s="188" t="s">
        <v>934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row>
    <row r="3" spans="1:55" s="190" customFormat="1" ht="31" customHeight="1" thickTop="1" thickBot="1" x14ac:dyDescent="0.3">
      <c r="A3" s="190" t="s">
        <v>0</v>
      </c>
    </row>
    <row r="4" spans="1:55" s="203" customFormat="1" ht="31" customHeight="1" thickBot="1" x14ac:dyDescent="0.3">
      <c r="A4" s="191" t="s">
        <v>1</v>
      </c>
      <c r="B4" s="192" t="s">
        <v>2</v>
      </c>
      <c r="C4" s="193" t="s">
        <v>3</v>
      </c>
      <c r="D4" s="193" t="s">
        <v>4</v>
      </c>
      <c r="E4" s="193" t="s">
        <v>5</v>
      </c>
      <c r="F4" s="194" t="s">
        <v>6</v>
      </c>
      <c r="G4" s="193" t="s">
        <v>7</v>
      </c>
      <c r="H4" s="193" t="s">
        <v>8</v>
      </c>
      <c r="I4" s="193" t="s">
        <v>9</v>
      </c>
      <c r="J4" s="193" t="s">
        <v>10</v>
      </c>
      <c r="K4" s="195" t="s">
        <v>11</v>
      </c>
      <c r="L4" s="193" t="s">
        <v>12</v>
      </c>
      <c r="M4" s="193" t="s">
        <v>13</v>
      </c>
      <c r="N4" s="193" t="s">
        <v>14</v>
      </c>
      <c r="O4" s="194" t="s">
        <v>15</v>
      </c>
      <c r="P4" s="196" t="s">
        <v>16</v>
      </c>
      <c r="Q4" s="197" t="s">
        <v>17</v>
      </c>
      <c r="R4" s="198" t="s">
        <v>18</v>
      </c>
      <c r="S4" s="196" t="s">
        <v>19</v>
      </c>
      <c r="T4" s="197" t="s">
        <v>20</v>
      </c>
      <c r="U4" s="198" t="s">
        <v>21</v>
      </c>
      <c r="V4" s="196" t="s">
        <v>22</v>
      </c>
      <c r="W4" s="197" t="s">
        <v>23</v>
      </c>
      <c r="X4" s="198" t="s">
        <v>24</v>
      </c>
      <c r="Y4" s="196" t="s">
        <v>25</v>
      </c>
      <c r="Z4" s="197" t="s">
        <v>26</v>
      </c>
      <c r="AA4" s="198" t="s">
        <v>27</v>
      </c>
      <c r="AB4" s="199" t="s">
        <v>28</v>
      </c>
      <c r="AC4" s="200" t="s">
        <v>29</v>
      </c>
      <c r="AD4" s="201" t="s">
        <v>30</v>
      </c>
      <c r="AE4" s="196" t="s">
        <v>31</v>
      </c>
      <c r="AF4" s="197" t="s">
        <v>32</v>
      </c>
      <c r="AG4" s="198" t="s">
        <v>33</v>
      </c>
      <c r="AH4" s="196" t="s">
        <v>34</v>
      </c>
      <c r="AI4" s="197" t="s">
        <v>35</v>
      </c>
      <c r="AJ4" s="198" t="s">
        <v>36</v>
      </c>
      <c r="AK4" s="196" t="s">
        <v>37</v>
      </c>
      <c r="AL4" s="197" t="s">
        <v>38</v>
      </c>
      <c r="AM4" s="198" t="s">
        <v>39</v>
      </c>
      <c r="AN4" s="196" t="s">
        <v>40</v>
      </c>
      <c r="AO4" s="197" t="s">
        <v>41</v>
      </c>
      <c r="AP4" s="198" t="s">
        <v>42</v>
      </c>
      <c r="AQ4" s="194" t="s">
        <v>43</v>
      </c>
      <c r="AR4" s="202" t="s">
        <v>44</v>
      </c>
    </row>
    <row r="5" spans="1:55" s="57" customFormat="1" ht="31" customHeight="1" thickTop="1" x14ac:dyDescent="0.25">
      <c r="A5" s="74"/>
      <c r="B5" s="75"/>
      <c r="C5" s="76"/>
      <c r="D5" s="76"/>
      <c r="E5" s="76"/>
      <c r="F5" s="76"/>
      <c r="G5" s="76"/>
      <c r="H5" s="75"/>
      <c r="I5" s="75"/>
      <c r="J5" s="77"/>
      <c r="K5" s="78"/>
      <c r="L5" s="79"/>
      <c r="M5" s="148"/>
      <c r="N5" s="148"/>
      <c r="O5" s="149"/>
      <c r="P5" s="150"/>
      <c r="Q5" s="151"/>
      <c r="R5" s="165"/>
      <c r="S5" s="150"/>
      <c r="T5" s="151"/>
      <c r="U5" s="165"/>
      <c r="V5" s="150"/>
      <c r="W5" s="151"/>
      <c r="X5" s="165"/>
      <c r="Y5" s="162"/>
      <c r="Z5" s="163"/>
      <c r="AA5" s="167"/>
      <c r="AB5" s="163"/>
      <c r="AC5" s="163"/>
      <c r="AD5" s="167"/>
      <c r="AE5" s="163"/>
      <c r="AF5" s="163"/>
      <c r="AG5" s="165"/>
      <c r="AH5" s="162"/>
      <c r="AI5" s="164"/>
      <c r="AJ5" s="167"/>
      <c r="AK5" s="163"/>
      <c r="AL5" s="163"/>
      <c r="AM5" s="167"/>
      <c r="AN5" s="163"/>
      <c r="AO5" s="163"/>
      <c r="AP5" s="165"/>
      <c r="AQ5" s="271"/>
      <c r="AR5" s="272"/>
    </row>
    <row r="6" spans="1:55" s="57" customFormat="1" ht="31" customHeight="1" x14ac:dyDescent="0.25">
      <c r="A6" s="80"/>
      <c r="B6" s="81"/>
      <c r="C6" s="82"/>
      <c r="D6" s="82"/>
      <c r="E6" s="82"/>
      <c r="F6" s="82"/>
      <c r="G6" s="82"/>
      <c r="H6" s="81"/>
      <c r="I6" s="81"/>
      <c r="J6" s="83"/>
      <c r="K6" s="78"/>
      <c r="L6" s="79"/>
      <c r="M6" s="152"/>
      <c r="N6" s="152"/>
      <c r="O6" s="153"/>
      <c r="P6" s="154"/>
      <c r="Q6" s="155"/>
      <c r="R6" s="165"/>
      <c r="S6" s="154"/>
      <c r="T6" s="155"/>
      <c r="U6" s="165"/>
      <c r="V6" s="154"/>
      <c r="W6" s="155"/>
      <c r="X6" s="165"/>
      <c r="Y6" s="156"/>
      <c r="Z6" s="157"/>
      <c r="AA6" s="168"/>
      <c r="AB6" s="157"/>
      <c r="AC6" s="157"/>
      <c r="AD6" s="168"/>
      <c r="AE6" s="157"/>
      <c r="AF6" s="157"/>
      <c r="AG6" s="165"/>
      <c r="AH6" s="156"/>
      <c r="AI6" s="157"/>
      <c r="AJ6" s="168"/>
      <c r="AK6" s="157"/>
      <c r="AL6" s="157"/>
      <c r="AM6" s="168"/>
      <c r="AN6" s="157"/>
      <c r="AO6" s="157"/>
      <c r="AP6" s="165"/>
      <c r="AQ6" s="271"/>
      <c r="AR6" s="272"/>
    </row>
    <row r="7" spans="1:55" s="57" customFormat="1" ht="31" customHeight="1" x14ac:dyDescent="0.25">
      <c r="A7" s="80"/>
      <c r="B7" s="81"/>
      <c r="C7" s="82"/>
      <c r="D7" s="82"/>
      <c r="E7" s="82"/>
      <c r="F7" s="82"/>
      <c r="G7" s="82"/>
      <c r="H7" s="84"/>
      <c r="I7" s="81"/>
      <c r="J7" s="85"/>
      <c r="K7" s="78"/>
      <c r="L7" s="79"/>
      <c r="M7" s="152"/>
      <c r="N7" s="152"/>
      <c r="O7" s="153"/>
      <c r="P7" s="154"/>
      <c r="Q7" s="155"/>
      <c r="R7" s="165"/>
      <c r="S7" s="154"/>
      <c r="T7" s="155"/>
      <c r="U7" s="165"/>
      <c r="V7" s="154"/>
      <c r="W7" s="155"/>
      <c r="X7" s="165"/>
      <c r="Y7" s="156"/>
      <c r="Z7" s="157"/>
      <c r="AA7" s="168"/>
      <c r="AB7" s="157"/>
      <c r="AC7" s="157"/>
      <c r="AD7" s="168"/>
      <c r="AE7" s="157"/>
      <c r="AF7" s="157"/>
      <c r="AG7" s="165"/>
      <c r="AH7" s="156"/>
      <c r="AI7" s="157"/>
      <c r="AJ7" s="168"/>
      <c r="AK7" s="157"/>
      <c r="AL7" s="157"/>
      <c r="AM7" s="168"/>
      <c r="AN7" s="157"/>
      <c r="AO7" s="157"/>
      <c r="AP7" s="165"/>
      <c r="AQ7" s="271"/>
      <c r="AR7" s="272"/>
    </row>
    <row r="8" spans="1:55" s="57" customFormat="1" ht="31" customHeight="1" x14ac:dyDescent="0.25">
      <c r="A8" s="80"/>
      <c r="B8" s="81"/>
      <c r="C8" s="82"/>
      <c r="D8" s="82"/>
      <c r="E8" s="82"/>
      <c r="F8" s="82"/>
      <c r="G8" s="82"/>
      <c r="H8" s="82"/>
      <c r="I8" s="81"/>
      <c r="J8" s="85"/>
      <c r="K8" s="78"/>
      <c r="L8" s="86"/>
      <c r="M8" s="152"/>
      <c r="N8" s="152"/>
      <c r="O8" s="153"/>
      <c r="P8" s="154"/>
      <c r="Q8" s="155"/>
      <c r="R8" s="165"/>
      <c r="S8" s="154"/>
      <c r="T8" s="155"/>
      <c r="U8" s="165"/>
      <c r="V8" s="154"/>
      <c r="W8" s="155"/>
      <c r="X8" s="165"/>
      <c r="Y8" s="156"/>
      <c r="Z8" s="157"/>
      <c r="AA8" s="168"/>
      <c r="AB8" s="157"/>
      <c r="AC8" s="157"/>
      <c r="AD8" s="168"/>
      <c r="AE8" s="157"/>
      <c r="AF8" s="157"/>
      <c r="AG8" s="165"/>
      <c r="AH8" s="156"/>
      <c r="AI8" s="157"/>
      <c r="AJ8" s="168"/>
      <c r="AK8" s="157"/>
      <c r="AL8" s="157"/>
      <c r="AM8" s="168"/>
      <c r="AN8" s="157"/>
      <c r="AO8" s="157"/>
      <c r="AP8" s="165"/>
      <c r="AQ8" s="271"/>
      <c r="AR8" s="272"/>
    </row>
    <row r="9" spans="1:55" s="57" customFormat="1" ht="31" customHeight="1" x14ac:dyDescent="0.25">
      <c r="A9" s="80"/>
      <c r="B9" s="81"/>
      <c r="C9" s="82"/>
      <c r="D9" s="82"/>
      <c r="E9" s="82"/>
      <c r="F9" s="82"/>
      <c r="G9" s="82"/>
      <c r="H9" s="82"/>
      <c r="I9" s="81"/>
      <c r="J9" s="85"/>
      <c r="K9" s="78"/>
      <c r="L9" s="86"/>
      <c r="M9" s="152"/>
      <c r="N9" s="152"/>
      <c r="O9" s="153"/>
      <c r="P9" s="154"/>
      <c r="Q9" s="155"/>
      <c r="R9" s="165"/>
      <c r="S9" s="154"/>
      <c r="T9" s="155"/>
      <c r="U9" s="165"/>
      <c r="V9" s="154"/>
      <c r="W9" s="155"/>
      <c r="X9" s="165"/>
      <c r="Y9" s="156"/>
      <c r="Z9" s="157"/>
      <c r="AA9" s="168"/>
      <c r="AB9" s="157"/>
      <c r="AC9" s="157"/>
      <c r="AD9" s="168"/>
      <c r="AE9" s="157"/>
      <c r="AF9" s="157"/>
      <c r="AG9" s="165"/>
      <c r="AH9" s="156"/>
      <c r="AI9" s="157"/>
      <c r="AJ9" s="168"/>
      <c r="AK9" s="157"/>
      <c r="AL9" s="157"/>
      <c r="AM9" s="168"/>
      <c r="AN9" s="157"/>
      <c r="AO9" s="157"/>
      <c r="AP9" s="165"/>
      <c r="AQ9" s="271"/>
      <c r="AR9" s="272"/>
    </row>
    <row r="10" spans="1:55" s="57" customFormat="1" ht="31" customHeight="1" x14ac:dyDescent="0.25">
      <c r="A10" s="80"/>
      <c r="B10" s="81"/>
      <c r="C10" s="82"/>
      <c r="D10" s="82"/>
      <c r="E10" s="82"/>
      <c r="F10" s="82"/>
      <c r="G10" s="82"/>
      <c r="H10" s="82"/>
      <c r="I10" s="81"/>
      <c r="J10" s="85"/>
      <c r="K10" s="78"/>
      <c r="L10" s="86"/>
      <c r="M10" s="152"/>
      <c r="N10" s="152"/>
      <c r="O10" s="153"/>
      <c r="P10" s="154"/>
      <c r="Q10" s="155"/>
      <c r="R10" s="165"/>
      <c r="S10" s="154"/>
      <c r="T10" s="155"/>
      <c r="U10" s="165"/>
      <c r="V10" s="154"/>
      <c r="W10" s="155"/>
      <c r="X10" s="165"/>
      <c r="Y10" s="156"/>
      <c r="Z10" s="157"/>
      <c r="AA10" s="168"/>
      <c r="AB10" s="157"/>
      <c r="AC10" s="157"/>
      <c r="AD10" s="168"/>
      <c r="AE10" s="157"/>
      <c r="AF10" s="157"/>
      <c r="AG10" s="165"/>
      <c r="AH10" s="156"/>
      <c r="AI10" s="157"/>
      <c r="AJ10" s="168"/>
      <c r="AK10" s="157"/>
      <c r="AL10" s="157"/>
      <c r="AM10" s="168"/>
      <c r="AN10" s="157"/>
      <c r="AO10" s="157"/>
      <c r="AP10" s="165"/>
      <c r="AQ10" s="271"/>
      <c r="AR10" s="272"/>
    </row>
    <row r="11" spans="1:55" s="57" customFormat="1" ht="31" customHeight="1" x14ac:dyDescent="0.25">
      <c r="A11" s="80"/>
      <c r="B11" s="81"/>
      <c r="C11" s="82"/>
      <c r="D11" s="82"/>
      <c r="E11" s="82"/>
      <c r="F11" s="82"/>
      <c r="G11" s="82"/>
      <c r="H11" s="82"/>
      <c r="I11" s="81"/>
      <c r="J11" s="85"/>
      <c r="K11" s="78"/>
      <c r="L11" s="86"/>
      <c r="M11" s="152"/>
      <c r="N11" s="152"/>
      <c r="O11" s="153"/>
      <c r="P11" s="154"/>
      <c r="Q11" s="155"/>
      <c r="R11" s="165"/>
      <c r="S11" s="154"/>
      <c r="T11" s="155"/>
      <c r="U11" s="165"/>
      <c r="V11" s="154"/>
      <c r="W11" s="155"/>
      <c r="X11" s="165"/>
      <c r="Y11" s="156"/>
      <c r="Z11" s="157"/>
      <c r="AA11" s="168"/>
      <c r="AB11" s="157"/>
      <c r="AC11" s="157"/>
      <c r="AD11" s="168"/>
      <c r="AE11" s="157"/>
      <c r="AF11" s="157"/>
      <c r="AG11" s="165"/>
      <c r="AH11" s="156"/>
      <c r="AI11" s="157"/>
      <c r="AJ11" s="168"/>
      <c r="AK11" s="157"/>
      <c r="AL11" s="157"/>
      <c r="AM11" s="168"/>
      <c r="AN11" s="157"/>
      <c r="AO11" s="157"/>
      <c r="AP11" s="165"/>
      <c r="AQ11" s="271"/>
      <c r="AR11" s="272"/>
    </row>
    <row r="12" spans="1:55" s="57" customFormat="1" ht="31" customHeight="1" x14ac:dyDescent="0.25">
      <c r="A12" s="80"/>
      <c r="B12" s="81"/>
      <c r="C12" s="82"/>
      <c r="D12" s="82"/>
      <c r="E12" s="82"/>
      <c r="F12" s="82"/>
      <c r="G12" s="82"/>
      <c r="H12" s="82"/>
      <c r="I12" s="81"/>
      <c r="J12" s="85"/>
      <c r="K12" s="78"/>
      <c r="L12" s="86"/>
      <c r="M12" s="152"/>
      <c r="N12" s="152"/>
      <c r="O12" s="153"/>
      <c r="P12" s="154"/>
      <c r="Q12" s="155"/>
      <c r="R12" s="165"/>
      <c r="S12" s="154"/>
      <c r="T12" s="155"/>
      <c r="U12" s="165"/>
      <c r="V12" s="154"/>
      <c r="W12" s="155"/>
      <c r="X12" s="165"/>
      <c r="Y12" s="156"/>
      <c r="Z12" s="157"/>
      <c r="AA12" s="168"/>
      <c r="AB12" s="157"/>
      <c r="AC12" s="157"/>
      <c r="AD12" s="168"/>
      <c r="AE12" s="157"/>
      <c r="AF12" s="157"/>
      <c r="AG12" s="165"/>
      <c r="AH12" s="156"/>
      <c r="AI12" s="157"/>
      <c r="AJ12" s="168"/>
      <c r="AK12" s="157"/>
      <c r="AL12" s="157"/>
      <c r="AM12" s="168"/>
      <c r="AN12" s="157"/>
      <c r="AO12" s="157"/>
      <c r="AP12" s="165"/>
      <c r="AQ12" s="271"/>
      <c r="AR12" s="272"/>
    </row>
    <row r="13" spans="1:55" s="57" customFormat="1" ht="31" customHeight="1" x14ac:dyDescent="0.25">
      <c r="A13" s="80"/>
      <c r="B13" s="81"/>
      <c r="C13" s="82"/>
      <c r="D13" s="82"/>
      <c r="E13" s="82"/>
      <c r="F13" s="82"/>
      <c r="G13" s="82"/>
      <c r="H13" s="82"/>
      <c r="I13" s="81"/>
      <c r="J13" s="85"/>
      <c r="K13" s="78"/>
      <c r="L13" s="86"/>
      <c r="M13" s="152"/>
      <c r="N13" s="152"/>
      <c r="O13" s="153"/>
      <c r="P13" s="154"/>
      <c r="Q13" s="155"/>
      <c r="R13" s="165"/>
      <c r="S13" s="154"/>
      <c r="T13" s="155"/>
      <c r="U13" s="165"/>
      <c r="V13" s="154"/>
      <c r="W13" s="155"/>
      <c r="X13" s="165"/>
      <c r="Y13" s="156"/>
      <c r="Z13" s="157"/>
      <c r="AA13" s="168"/>
      <c r="AB13" s="157"/>
      <c r="AC13" s="157"/>
      <c r="AD13" s="168"/>
      <c r="AE13" s="157"/>
      <c r="AF13" s="157"/>
      <c r="AG13" s="165"/>
      <c r="AH13" s="156"/>
      <c r="AI13" s="157"/>
      <c r="AJ13" s="168"/>
      <c r="AK13" s="157"/>
      <c r="AL13" s="157"/>
      <c r="AM13" s="168"/>
      <c r="AN13" s="157"/>
      <c r="AO13" s="157"/>
      <c r="AP13" s="165"/>
      <c r="AQ13" s="271"/>
      <c r="AR13" s="272"/>
    </row>
    <row r="14" spans="1:55" s="57" customFormat="1" ht="31" customHeight="1" x14ac:dyDescent="0.25">
      <c r="A14" s="80"/>
      <c r="B14" s="81"/>
      <c r="C14" s="82"/>
      <c r="D14" s="82"/>
      <c r="E14" s="82"/>
      <c r="F14" s="82"/>
      <c r="G14" s="82"/>
      <c r="H14" s="82"/>
      <c r="I14" s="81"/>
      <c r="J14" s="85"/>
      <c r="K14" s="78"/>
      <c r="L14" s="86"/>
      <c r="M14" s="152"/>
      <c r="N14" s="152"/>
      <c r="O14" s="153"/>
      <c r="P14" s="154"/>
      <c r="Q14" s="155"/>
      <c r="R14" s="165"/>
      <c r="S14" s="154"/>
      <c r="T14" s="155"/>
      <c r="U14" s="165"/>
      <c r="V14" s="154"/>
      <c r="W14" s="155"/>
      <c r="X14" s="165"/>
      <c r="Y14" s="156"/>
      <c r="Z14" s="157"/>
      <c r="AA14" s="168"/>
      <c r="AB14" s="157"/>
      <c r="AC14" s="157"/>
      <c r="AD14" s="168"/>
      <c r="AE14" s="157"/>
      <c r="AF14" s="157"/>
      <c r="AG14" s="165"/>
      <c r="AH14" s="156"/>
      <c r="AI14" s="157"/>
      <c r="AJ14" s="168"/>
      <c r="AK14" s="157"/>
      <c r="AL14" s="157"/>
      <c r="AM14" s="168"/>
      <c r="AN14" s="157"/>
      <c r="AO14" s="157"/>
      <c r="AP14" s="165"/>
      <c r="AQ14" s="271"/>
      <c r="AR14" s="272"/>
    </row>
    <row r="15" spans="1:55" s="57" customFormat="1" ht="31" customHeight="1" x14ac:dyDescent="0.25">
      <c r="A15" s="80"/>
      <c r="B15" s="81"/>
      <c r="C15" s="82"/>
      <c r="D15" s="82"/>
      <c r="E15" s="82"/>
      <c r="F15" s="82"/>
      <c r="G15" s="82"/>
      <c r="H15" s="81"/>
      <c r="I15" s="81"/>
      <c r="J15" s="85"/>
      <c r="K15" s="78"/>
      <c r="L15" s="86"/>
      <c r="M15" s="152"/>
      <c r="N15" s="152"/>
      <c r="O15" s="153"/>
      <c r="P15" s="154"/>
      <c r="Q15" s="155"/>
      <c r="R15" s="165"/>
      <c r="S15" s="154"/>
      <c r="T15" s="155"/>
      <c r="U15" s="165"/>
      <c r="V15" s="154"/>
      <c r="W15" s="155"/>
      <c r="X15" s="165"/>
      <c r="Y15" s="156"/>
      <c r="Z15" s="157"/>
      <c r="AA15" s="168"/>
      <c r="AB15" s="157"/>
      <c r="AC15" s="157"/>
      <c r="AD15" s="168"/>
      <c r="AE15" s="157"/>
      <c r="AF15" s="157"/>
      <c r="AG15" s="165"/>
      <c r="AH15" s="156"/>
      <c r="AI15" s="157"/>
      <c r="AJ15" s="168"/>
      <c r="AK15" s="157"/>
      <c r="AL15" s="157"/>
      <c r="AM15" s="168"/>
      <c r="AN15" s="157"/>
      <c r="AO15" s="157"/>
      <c r="AP15" s="165"/>
      <c r="AQ15" s="271"/>
      <c r="AR15" s="272"/>
    </row>
    <row r="16" spans="1:55" s="57" customFormat="1" ht="31" customHeight="1" x14ac:dyDescent="0.25">
      <c r="A16" s="80"/>
      <c r="B16" s="81"/>
      <c r="C16" s="82"/>
      <c r="D16" s="82"/>
      <c r="E16" s="82"/>
      <c r="F16" s="82"/>
      <c r="G16" s="82"/>
      <c r="H16" s="81"/>
      <c r="I16" s="81"/>
      <c r="J16" s="85"/>
      <c r="K16" s="78"/>
      <c r="L16" s="86"/>
      <c r="M16" s="152"/>
      <c r="N16" s="152"/>
      <c r="O16" s="153"/>
      <c r="P16" s="154"/>
      <c r="Q16" s="155"/>
      <c r="R16" s="165"/>
      <c r="S16" s="154"/>
      <c r="T16" s="155"/>
      <c r="U16" s="165"/>
      <c r="V16" s="154"/>
      <c r="W16" s="155"/>
      <c r="X16" s="165"/>
      <c r="Y16" s="156"/>
      <c r="Z16" s="157"/>
      <c r="AA16" s="168"/>
      <c r="AB16" s="157"/>
      <c r="AC16" s="157"/>
      <c r="AD16" s="168"/>
      <c r="AE16" s="157"/>
      <c r="AF16" s="157"/>
      <c r="AG16" s="165"/>
      <c r="AH16" s="156"/>
      <c r="AI16" s="157"/>
      <c r="AJ16" s="168"/>
      <c r="AK16" s="157"/>
      <c r="AL16" s="157"/>
      <c r="AM16" s="168"/>
      <c r="AN16" s="157"/>
      <c r="AO16" s="157"/>
      <c r="AP16" s="165"/>
      <c r="AQ16" s="271"/>
      <c r="AR16" s="272"/>
    </row>
    <row r="17" spans="1:44" s="57" customFormat="1" ht="31" customHeight="1" x14ac:dyDescent="0.25">
      <c r="A17" s="80"/>
      <c r="B17" s="81"/>
      <c r="C17" s="82"/>
      <c r="D17" s="82"/>
      <c r="E17" s="82"/>
      <c r="F17" s="82"/>
      <c r="G17" s="82"/>
      <c r="H17" s="81"/>
      <c r="I17" s="81"/>
      <c r="J17" s="85"/>
      <c r="K17" s="78"/>
      <c r="L17" s="86"/>
      <c r="M17" s="152"/>
      <c r="N17" s="152"/>
      <c r="O17" s="153"/>
      <c r="P17" s="154"/>
      <c r="Q17" s="155"/>
      <c r="R17" s="165"/>
      <c r="S17" s="154"/>
      <c r="T17" s="155"/>
      <c r="U17" s="165"/>
      <c r="V17" s="154"/>
      <c r="W17" s="155"/>
      <c r="X17" s="165"/>
      <c r="Y17" s="156"/>
      <c r="Z17" s="157"/>
      <c r="AA17" s="168"/>
      <c r="AB17" s="157"/>
      <c r="AC17" s="157"/>
      <c r="AD17" s="168"/>
      <c r="AE17" s="157"/>
      <c r="AF17" s="157"/>
      <c r="AG17" s="165"/>
      <c r="AH17" s="156"/>
      <c r="AI17" s="157"/>
      <c r="AJ17" s="168"/>
      <c r="AK17" s="157"/>
      <c r="AL17" s="157"/>
      <c r="AM17" s="168"/>
      <c r="AN17" s="157"/>
      <c r="AO17" s="157"/>
      <c r="AP17" s="165"/>
      <c r="AQ17" s="271"/>
      <c r="AR17" s="272"/>
    </row>
    <row r="18" spans="1:44" s="57" customFormat="1" ht="31" customHeight="1" x14ac:dyDescent="0.25">
      <c r="A18" s="80"/>
      <c r="B18" s="81"/>
      <c r="C18" s="82"/>
      <c r="D18" s="82"/>
      <c r="E18" s="82"/>
      <c r="F18" s="82"/>
      <c r="G18" s="82"/>
      <c r="H18" s="81"/>
      <c r="I18" s="81"/>
      <c r="J18" s="85"/>
      <c r="K18" s="78"/>
      <c r="L18" s="86"/>
      <c r="M18" s="152"/>
      <c r="N18" s="152"/>
      <c r="O18" s="153"/>
      <c r="P18" s="154"/>
      <c r="Q18" s="155"/>
      <c r="R18" s="165"/>
      <c r="S18" s="154"/>
      <c r="T18" s="155"/>
      <c r="U18" s="165"/>
      <c r="V18" s="154"/>
      <c r="W18" s="155"/>
      <c r="X18" s="165"/>
      <c r="Y18" s="156"/>
      <c r="Z18" s="157"/>
      <c r="AA18" s="168"/>
      <c r="AB18" s="157"/>
      <c r="AC18" s="157"/>
      <c r="AD18" s="168"/>
      <c r="AE18" s="157"/>
      <c r="AF18" s="157"/>
      <c r="AG18" s="165"/>
      <c r="AH18" s="156"/>
      <c r="AI18" s="157"/>
      <c r="AJ18" s="168"/>
      <c r="AK18" s="157"/>
      <c r="AL18" s="157"/>
      <c r="AM18" s="168"/>
      <c r="AN18" s="157"/>
      <c r="AO18" s="157"/>
      <c r="AP18" s="165"/>
      <c r="AQ18" s="271"/>
      <c r="AR18" s="272"/>
    </row>
    <row r="19" spans="1:44" s="57" customFormat="1" ht="31" customHeight="1" x14ac:dyDescent="0.25">
      <c r="A19" s="80"/>
      <c r="B19" s="81"/>
      <c r="C19" s="82"/>
      <c r="D19" s="82"/>
      <c r="E19" s="82"/>
      <c r="F19" s="82"/>
      <c r="G19" s="82"/>
      <c r="H19" s="81"/>
      <c r="I19" s="81"/>
      <c r="J19" s="85"/>
      <c r="K19" s="78"/>
      <c r="L19" s="86"/>
      <c r="M19" s="152"/>
      <c r="N19" s="152"/>
      <c r="O19" s="153"/>
      <c r="P19" s="154"/>
      <c r="Q19" s="155"/>
      <c r="R19" s="165"/>
      <c r="S19" s="154"/>
      <c r="T19" s="155"/>
      <c r="U19" s="165"/>
      <c r="V19" s="154"/>
      <c r="W19" s="155"/>
      <c r="X19" s="165"/>
      <c r="Y19" s="156"/>
      <c r="Z19" s="157"/>
      <c r="AA19" s="168"/>
      <c r="AB19" s="157"/>
      <c r="AC19" s="157"/>
      <c r="AD19" s="168"/>
      <c r="AE19" s="157"/>
      <c r="AF19" s="157"/>
      <c r="AG19" s="165"/>
      <c r="AH19" s="156"/>
      <c r="AI19" s="157"/>
      <c r="AJ19" s="168"/>
      <c r="AK19" s="157"/>
      <c r="AL19" s="157"/>
      <c r="AM19" s="168"/>
      <c r="AN19" s="157"/>
      <c r="AO19" s="157"/>
      <c r="AP19" s="165"/>
      <c r="AQ19" s="271"/>
      <c r="AR19" s="272"/>
    </row>
    <row r="20" spans="1:44" s="57" customFormat="1" ht="31" customHeight="1" x14ac:dyDescent="0.25">
      <c r="A20" s="80"/>
      <c r="B20" s="81"/>
      <c r="C20" s="82"/>
      <c r="D20" s="82"/>
      <c r="E20" s="82"/>
      <c r="F20" s="82"/>
      <c r="G20" s="82"/>
      <c r="H20" s="81"/>
      <c r="I20" s="81"/>
      <c r="J20" s="85"/>
      <c r="K20" s="78"/>
      <c r="L20" s="86"/>
      <c r="M20" s="152"/>
      <c r="N20" s="152"/>
      <c r="O20" s="153"/>
      <c r="P20" s="156"/>
      <c r="Q20" s="157"/>
      <c r="R20" s="168"/>
      <c r="S20" s="157"/>
      <c r="T20" s="157"/>
      <c r="U20" s="165"/>
      <c r="V20" s="156"/>
      <c r="W20" s="157"/>
      <c r="X20" s="168"/>
      <c r="Y20" s="156"/>
      <c r="Z20" s="157"/>
      <c r="AA20" s="168"/>
      <c r="AB20" s="157"/>
      <c r="AC20" s="157"/>
      <c r="AD20" s="168"/>
      <c r="AE20" s="157"/>
      <c r="AF20" s="157"/>
      <c r="AG20" s="165"/>
      <c r="AH20" s="156"/>
      <c r="AI20" s="157"/>
      <c r="AJ20" s="168"/>
      <c r="AK20" s="157"/>
      <c r="AL20" s="157"/>
      <c r="AM20" s="168"/>
      <c r="AN20" s="157"/>
      <c r="AO20" s="157"/>
      <c r="AP20" s="165"/>
      <c r="AQ20" s="271"/>
      <c r="AR20" s="272"/>
    </row>
    <row r="21" spans="1:44" s="57" customFormat="1" ht="31" customHeight="1" x14ac:dyDescent="0.25">
      <c r="A21" s="80"/>
      <c r="B21" s="81"/>
      <c r="C21" s="82"/>
      <c r="D21" s="82"/>
      <c r="E21" s="82"/>
      <c r="F21" s="82"/>
      <c r="G21" s="82"/>
      <c r="H21" s="81"/>
      <c r="I21" s="81"/>
      <c r="J21" s="85"/>
      <c r="K21" s="78"/>
      <c r="L21" s="86"/>
      <c r="M21" s="152"/>
      <c r="N21" s="152"/>
      <c r="O21" s="153"/>
      <c r="P21" s="156"/>
      <c r="Q21" s="157"/>
      <c r="R21" s="168"/>
      <c r="S21" s="157"/>
      <c r="T21" s="157"/>
      <c r="U21" s="165"/>
      <c r="V21" s="156"/>
      <c r="W21" s="157"/>
      <c r="X21" s="168"/>
      <c r="Y21" s="156"/>
      <c r="Z21" s="157"/>
      <c r="AA21" s="168"/>
      <c r="AB21" s="157"/>
      <c r="AC21" s="157"/>
      <c r="AD21" s="168"/>
      <c r="AE21" s="157"/>
      <c r="AF21" s="157"/>
      <c r="AG21" s="165"/>
      <c r="AH21" s="156"/>
      <c r="AI21" s="157"/>
      <c r="AJ21" s="168"/>
      <c r="AK21" s="157"/>
      <c r="AL21" s="157"/>
      <c r="AM21" s="168"/>
      <c r="AN21" s="157"/>
      <c r="AO21" s="157"/>
      <c r="AP21" s="165"/>
      <c r="AQ21" s="271"/>
      <c r="AR21" s="272"/>
    </row>
    <row r="22" spans="1:44" s="57" customFormat="1" ht="31" customHeight="1" x14ac:dyDescent="0.25">
      <c r="A22" s="80"/>
      <c r="B22" s="81"/>
      <c r="C22" s="82"/>
      <c r="D22" s="82"/>
      <c r="E22" s="82"/>
      <c r="F22" s="82"/>
      <c r="G22" s="82"/>
      <c r="H22" s="81"/>
      <c r="I22" s="81"/>
      <c r="J22" s="85"/>
      <c r="K22" s="78"/>
      <c r="L22" s="86"/>
      <c r="M22" s="152"/>
      <c r="N22" s="152"/>
      <c r="O22" s="153"/>
      <c r="P22" s="156"/>
      <c r="Q22" s="157"/>
      <c r="R22" s="168"/>
      <c r="S22" s="157"/>
      <c r="T22" s="157"/>
      <c r="U22" s="165"/>
      <c r="V22" s="156"/>
      <c r="W22" s="157"/>
      <c r="X22" s="168"/>
      <c r="Y22" s="156"/>
      <c r="Z22" s="157"/>
      <c r="AA22" s="168"/>
      <c r="AB22" s="157"/>
      <c r="AC22" s="157"/>
      <c r="AD22" s="168"/>
      <c r="AE22" s="157"/>
      <c r="AF22" s="157"/>
      <c r="AG22" s="165"/>
      <c r="AH22" s="156"/>
      <c r="AI22" s="157"/>
      <c r="AJ22" s="168"/>
      <c r="AK22" s="157"/>
      <c r="AL22" s="157"/>
      <c r="AM22" s="168"/>
      <c r="AN22" s="157"/>
      <c r="AO22" s="157"/>
      <c r="AP22" s="165"/>
      <c r="AQ22" s="271"/>
      <c r="AR22" s="272"/>
    </row>
    <row r="23" spans="1:44" s="57" customFormat="1" ht="31" customHeight="1" x14ac:dyDescent="0.25">
      <c r="A23" s="80"/>
      <c r="B23" s="81"/>
      <c r="C23" s="82"/>
      <c r="D23" s="82"/>
      <c r="E23" s="82"/>
      <c r="F23" s="82"/>
      <c r="G23" s="82"/>
      <c r="H23" s="81"/>
      <c r="I23" s="81"/>
      <c r="J23" s="85"/>
      <c r="K23" s="78"/>
      <c r="L23" s="86"/>
      <c r="M23" s="152"/>
      <c r="N23" s="152"/>
      <c r="O23" s="153"/>
      <c r="P23" s="156"/>
      <c r="Q23" s="157"/>
      <c r="R23" s="168"/>
      <c r="S23" s="157"/>
      <c r="T23" s="157"/>
      <c r="U23" s="165"/>
      <c r="V23" s="156"/>
      <c r="W23" s="157"/>
      <c r="X23" s="168"/>
      <c r="Y23" s="156"/>
      <c r="Z23" s="157"/>
      <c r="AA23" s="168"/>
      <c r="AB23" s="157"/>
      <c r="AC23" s="157"/>
      <c r="AD23" s="168"/>
      <c r="AE23" s="157"/>
      <c r="AF23" s="157"/>
      <c r="AG23" s="165"/>
      <c r="AH23" s="156"/>
      <c r="AI23" s="157"/>
      <c r="AJ23" s="168"/>
      <c r="AK23" s="157"/>
      <c r="AL23" s="157"/>
      <c r="AM23" s="168"/>
      <c r="AN23" s="157"/>
      <c r="AO23" s="157"/>
      <c r="AP23" s="165"/>
      <c r="AQ23" s="271"/>
      <c r="AR23" s="272"/>
    </row>
    <row r="24" spans="1:44" s="57" customFormat="1" ht="31" customHeight="1" x14ac:dyDescent="0.25">
      <c r="A24" s="80"/>
      <c r="B24" s="81"/>
      <c r="C24" s="82"/>
      <c r="D24" s="82"/>
      <c r="E24" s="82"/>
      <c r="F24" s="82"/>
      <c r="G24" s="82"/>
      <c r="H24" s="81"/>
      <c r="I24" s="81"/>
      <c r="J24" s="85"/>
      <c r="K24" s="78"/>
      <c r="L24" s="86"/>
      <c r="M24" s="152"/>
      <c r="N24" s="152"/>
      <c r="O24" s="153"/>
      <c r="P24" s="156"/>
      <c r="Q24" s="157"/>
      <c r="R24" s="168"/>
      <c r="S24" s="157"/>
      <c r="T24" s="157"/>
      <c r="U24" s="165"/>
      <c r="V24" s="156"/>
      <c r="W24" s="157"/>
      <c r="X24" s="168"/>
      <c r="Y24" s="156"/>
      <c r="Z24" s="157"/>
      <c r="AA24" s="168"/>
      <c r="AB24" s="157"/>
      <c r="AC24" s="157"/>
      <c r="AD24" s="168"/>
      <c r="AE24" s="157"/>
      <c r="AF24" s="157"/>
      <c r="AG24" s="165"/>
      <c r="AH24" s="156"/>
      <c r="AI24" s="157"/>
      <c r="AJ24" s="168"/>
      <c r="AK24" s="157"/>
      <c r="AL24" s="157"/>
      <c r="AM24" s="168"/>
      <c r="AN24" s="157"/>
      <c r="AO24" s="157"/>
      <c r="AP24" s="165"/>
      <c r="AQ24" s="271"/>
      <c r="AR24" s="272"/>
    </row>
    <row r="25" spans="1:44" s="57" customFormat="1" ht="31" customHeight="1" x14ac:dyDescent="0.25">
      <c r="A25" s="80"/>
      <c r="B25" s="81"/>
      <c r="C25" s="82"/>
      <c r="D25" s="82"/>
      <c r="E25" s="82"/>
      <c r="F25" s="82"/>
      <c r="G25" s="82"/>
      <c r="H25" s="81"/>
      <c r="I25" s="81"/>
      <c r="J25" s="85"/>
      <c r="K25" s="78"/>
      <c r="L25" s="86"/>
      <c r="M25" s="152"/>
      <c r="N25" s="152"/>
      <c r="O25" s="153"/>
      <c r="P25" s="156"/>
      <c r="Q25" s="157"/>
      <c r="R25" s="168"/>
      <c r="S25" s="157"/>
      <c r="T25" s="157"/>
      <c r="U25" s="165"/>
      <c r="V25" s="156"/>
      <c r="W25" s="157"/>
      <c r="X25" s="168"/>
      <c r="Y25" s="156"/>
      <c r="Z25" s="157"/>
      <c r="AA25" s="168"/>
      <c r="AB25" s="157"/>
      <c r="AC25" s="157"/>
      <c r="AD25" s="168"/>
      <c r="AE25" s="157"/>
      <c r="AF25" s="157"/>
      <c r="AG25" s="165"/>
      <c r="AH25" s="156"/>
      <c r="AI25" s="157"/>
      <c r="AJ25" s="168"/>
      <c r="AK25" s="157"/>
      <c r="AL25" s="157"/>
      <c r="AM25" s="168"/>
      <c r="AN25" s="157"/>
      <c r="AO25" s="157"/>
      <c r="AP25" s="165"/>
      <c r="AQ25" s="271"/>
      <c r="AR25" s="272"/>
    </row>
    <row r="26" spans="1:44" s="57" customFormat="1" ht="31" customHeight="1" x14ac:dyDescent="0.25">
      <c r="A26" s="80"/>
      <c r="B26" s="81"/>
      <c r="C26" s="82"/>
      <c r="D26" s="82"/>
      <c r="E26" s="82"/>
      <c r="F26" s="82"/>
      <c r="G26" s="82"/>
      <c r="H26" s="81"/>
      <c r="I26" s="81"/>
      <c r="J26" s="85"/>
      <c r="K26" s="78"/>
      <c r="L26" s="86"/>
      <c r="M26" s="152"/>
      <c r="N26" s="152"/>
      <c r="O26" s="153"/>
      <c r="P26" s="156"/>
      <c r="Q26" s="157"/>
      <c r="R26" s="168"/>
      <c r="S26" s="157"/>
      <c r="T26" s="157"/>
      <c r="U26" s="165"/>
      <c r="V26" s="156"/>
      <c r="W26" s="157"/>
      <c r="X26" s="168"/>
      <c r="Y26" s="156"/>
      <c r="Z26" s="157"/>
      <c r="AA26" s="168"/>
      <c r="AB26" s="157"/>
      <c r="AC26" s="157"/>
      <c r="AD26" s="168"/>
      <c r="AE26" s="157"/>
      <c r="AF26" s="157"/>
      <c r="AG26" s="165"/>
      <c r="AH26" s="156"/>
      <c r="AI26" s="157"/>
      <c r="AJ26" s="168"/>
      <c r="AK26" s="157"/>
      <c r="AL26" s="157"/>
      <c r="AM26" s="168"/>
      <c r="AN26" s="157"/>
      <c r="AO26" s="157"/>
      <c r="AP26" s="165"/>
      <c r="AQ26" s="271"/>
      <c r="AR26" s="272"/>
    </row>
    <row r="27" spans="1:44" s="57" customFormat="1" ht="31" customHeight="1" x14ac:dyDescent="0.25">
      <c r="A27" s="80"/>
      <c r="B27" s="81"/>
      <c r="C27" s="82"/>
      <c r="D27" s="82"/>
      <c r="E27" s="82"/>
      <c r="F27" s="82"/>
      <c r="G27" s="82"/>
      <c r="H27" s="81"/>
      <c r="I27" s="81"/>
      <c r="J27" s="85"/>
      <c r="K27" s="78"/>
      <c r="L27" s="86"/>
      <c r="M27" s="152"/>
      <c r="N27" s="152"/>
      <c r="O27" s="153"/>
      <c r="P27" s="156"/>
      <c r="Q27" s="157"/>
      <c r="R27" s="168"/>
      <c r="S27" s="157"/>
      <c r="T27" s="157"/>
      <c r="U27" s="165"/>
      <c r="V27" s="156"/>
      <c r="W27" s="157"/>
      <c r="X27" s="168"/>
      <c r="Y27" s="156"/>
      <c r="Z27" s="157"/>
      <c r="AA27" s="168"/>
      <c r="AB27" s="157"/>
      <c r="AC27" s="157"/>
      <c r="AD27" s="168"/>
      <c r="AE27" s="157"/>
      <c r="AF27" s="157"/>
      <c r="AG27" s="165"/>
      <c r="AH27" s="156"/>
      <c r="AI27" s="157"/>
      <c r="AJ27" s="168"/>
      <c r="AK27" s="157"/>
      <c r="AL27" s="157"/>
      <c r="AM27" s="168"/>
      <c r="AN27" s="157"/>
      <c r="AO27" s="157"/>
      <c r="AP27" s="165"/>
      <c r="AQ27" s="271"/>
      <c r="AR27" s="272"/>
    </row>
    <row r="28" spans="1:44" s="57" customFormat="1" ht="31" customHeight="1" x14ac:dyDescent="0.25">
      <c r="A28" s="80"/>
      <c r="B28" s="81"/>
      <c r="C28" s="82"/>
      <c r="D28" s="82"/>
      <c r="E28" s="82"/>
      <c r="F28" s="82"/>
      <c r="G28" s="82"/>
      <c r="H28" s="81"/>
      <c r="I28" s="81"/>
      <c r="J28" s="85"/>
      <c r="K28" s="78"/>
      <c r="L28" s="86"/>
      <c r="M28" s="152"/>
      <c r="N28" s="152"/>
      <c r="O28" s="153"/>
      <c r="P28" s="156"/>
      <c r="Q28" s="157"/>
      <c r="R28" s="168"/>
      <c r="S28" s="157"/>
      <c r="T28" s="157"/>
      <c r="U28" s="165"/>
      <c r="V28" s="156"/>
      <c r="W28" s="157"/>
      <c r="X28" s="168"/>
      <c r="Y28" s="156"/>
      <c r="Z28" s="157"/>
      <c r="AA28" s="168"/>
      <c r="AB28" s="157"/>
      <c r="AC28" s="157"/>
      <c r="AD28" s="168"/>
      <c r="AE28" s="157"/>
      <c r="AF28" s="157"/>
      <c r="AG28" s="165"/>
      <c r="AH28" s="156"/>
      <c r="AI28" s="157"/>
      <c r="AJ28" s="168"/>
      <c r="AK28" s="157"/>
      <c r="AL28" s="157"/>
      <c r="AM28" s="168"/>
      <c r="AN28" s="157"/>
      <c r="AO28" s="157"/>
      <c r="AP28" s="165"/>
      <c r="AQ28" s="271"/>
      <c r="AR28" s="272"/>
    </row>
    <row r="29" spans="1:44" s="57" customFormat="1" ht="31" customHeight="1" x14ac:dyDescent="0.25">
      <c r="A29" s="80"/>
      <c r="B29" s="81"/>
      <c r="C29" s="82"/>
      <c r="D29" s="82"/>
      <c r="E29" s="82"/>
      <c r="F29" s="82"/>
      <c r="G29" s="82"/>
      <c r="H29" s="81"/>
      <c r="I29" s="81"/>
      <c r="J29" s="85"/>
      <c r="K29" s="78"/>
      <c r="L29" s="86"/>
      <c r="M29" s="152"/>
      <c r="N29" s="152"/>
      <c r="O29" s="153"/>
      <c r="P29" s="156"/>
      <c r="Q29" s="157"/>
      <c r="R29" s="168"/>
      <c r="S29" s="157"/>
      <c r="T29" s="157"/>
      <c r="U29" s="165"/>
      <c r="V29" s="156"/>
      <c r="W29" s="157"/>
      <c r="X29" s="168"/>
      <c r="Y29" s="156"/>
      <c r="Z29" s="157"/>
      <c r="AA29" s="168"/>
      <c r="AB29" s="157"/>
      <c r="AC29" s="157"/>
      <c r="AD29" s="168"/>
      <c r="AE29" s="157"/>
      <c r="AF29" s="157"/>
      <c r="AG29" s="165"/>
      <c r="AH29" s="156"/>
      <c r="AI29" s="157"/>
      <c r="AJ29" s="168"/>
      <c r="AK29" s="157"/>
      <c r="AL29" s="157"/>
      <c r="AM29" s="168"/>
      <c r="AN29" s="157"/>
      <c r="AO29" s="157"/>
      <c r="AP29" s="165"/>
      <c r="AQ29" s="271"/>
      <c r="AR29" s="272"/>
    </row>
    <row r="30" spans="1:44" s="57" customFormat="1" ht="31" customHeight="1" x14ac:dyDescent="0.25">
      <c r="A30" s="80"/>
      <c r="B30" s="81"/>
      <c r="C30" s="82"/>
      <c r="D30" s="82"/>
      <c r="E30" s="82"/>
      <c r="F30" s="82"/>
      <c r="G30" s="82"/>
      <c r="H30" s="81"/>
      <c r="I30" s="81"/>
      <c r="J30" s="85"/>
      <c r="K30" s="78"/>
      <c r="L30" s="86"/>
      <c r="M30" s="152"/>
      <c r="N30" s="152"/>
      <c r="O30" s="153"/>
      <c r="P30" s="156"/>
      <c r="Q30" s="157"/>
      <c r="R30" s="168"/>
      <c r="S30" s="157"/>
      <c r="T30" s="157"/>
      <c r="U30" s="165"/>
      <c r="V30" s="156"/>
      <c r="W30" s="157"/>
      <c r="X30" s="168"/>
      <c r="Y30" s="156"/>
      <c r="Z30" s="157"/>
      <c r="AA30" s="168"/>
      <c r="AB30" s="157"/>
      <c r="AC30" s="157"/>
      <c r="AD30" s="168"/>
      <c r="AE30" s="157"/>
      <c r="AF30" s="157"/>
      <c r="AG30" s="165"/>
      <c r="AH30" s="156"/>
      <c r="AI30" s="157"/>
      <c r="AJ30" s="168"/>
      <c r="AK30" s="157"/>
      <c r="AL30" s="157"/>
      <c r="AM30" s="168"/>
      <c r="AN30" s="157"/>
      <c r="AO30" s="157"/>
      <c r="AP30" s="165"/>
      <c r="AQ30" s="271"/>
      <c r="AR30" s="272"/>
    </row>
    <row r="31" spans="1:44" s="57" customFormat="1" ht="31" customHeight="1" x14ac:dyDescent="0.25">
      <c r="A31" s="80"/>
      <c r="B31" s="81"/>
      <c r="C31" s="82"/>
      <c r="D31" s="82"/>
      <c r="E31" s="82"/>
      <c r="F31" s="82"/>
      <c r="G31" s="82"/>
      <c r="H31" s="81"/>
      <c r="I31" s="81"/>
      <c r="J31" s="85"/>
      <c r="K31" s="78"/>
      <c r="L31" s="86"/>
      <c r="M31" s="152"/>
      <c r="N31" s="152"/>
      <c r="O31" s="153"/>
      <c r="P31" s="156"/>
      <c r="Q31" s="157"/>
      <c r="R31" s="168"/>
      <c r="S31" s="157"/>
      <c r="T31" s="157"/>
      <c r="U31" s="165"/>
      <c r="V31" s="156"/>
      <c r="W31" s="157"/>
      <c r="X31" s="168"/>
      <c r="Y31" s="156"/>
      <c r="Z31" s="157"/>
      <c r="AA31" s="168"/>
      <c r="AB31" s="157"/>
      <c r="AC31" s="157"/>
      <c r="AD31" s="168"/>
      <c r="AE31" s="157"/>
      <c r="AF31" s="157"/>
      <c r="AG31" s="165"/>
      <c r="AH31" s="156"/>
      <c r="AI31" s="157"/>
      <c r="AJ31" s="168"/>
      <c r="AK31" s="157"/>
      <c r="AL31" s="157"/>
      <c r="AM31" s="168"/>
      <c r="AN31" s="157"/>
      <c r="AO31" s="157"/>
      <c r="AP31" s="165"/>
      <c r="AQ31" s="271"/>
      <c r="AR31" s="272"/>
    </row>
    <row r="32" spans="1:44" s="57" customFormat="1" ht="31" customHeight="1" x14ac:dyDescent="0.25">
      <c r="A32" s="80"/>
      <c r="B32" s="81"/>
      <c r="C32" s="82"/>
      <c r="D32" s="82"/>
      <c r="E32" s="82"/>
      <c r="F32" s="82"/>
      <c r="G32" s="82"/>
      <c r="H32" s="81"/>
      <c r="I32" s="81"/>
      <c r="J32" s="85"/>
      <c r="K32" s="78"/>
      <c r="L32" s="86"/>
      <c r="M32" s="152"/>
      <c r="N32" s="152"/>
      <c r="O32" s="153"/>
      <c r="P32" s="156"/>
      <c r="Q32" s="157"/>
      <c r="R32" s="168"/>
      <c r="S32" s="157"/>
      <c r="T32" s="157"/>
      <c r="U32" s="165"/>
      <c r="V32" s="156"/>
      <c r="W32" s="157"/>
      <c r="X32" s="168"/>
      <c r="Y32" s="156"/>
      <c r="Z32" s="157"/>
      <c r="AA32" s="168"/>
      <c r="AB32" s="157"/>
      <c r="AC32" s="157"/>
      <c r="AD32" s="168"/>
      <c r="AE32" s="157"/>
      <c r="AF32" s="157"/>
      <c r="AG32" s="165"/>
      <c r="AH32" s="156"/>
      <c r="AI32" s="157"/>
      <c r="AJ32" s="168"/>
      <c r="AK32" s="157"/>
      <c r="AL32" s="157"/>
      <c r="AM32" s="168"/>
      <c r="AN32" s="157"/>
      <c r="AO32" s="157"/>
      <c r="AP32" s="165"/>
      <c r="AQ32" s="271"/>
      <c r="AR32" s="272"/>
    </row>
    <row r="33" spans="1:44" s="57" customFormat="1" ht="31" customHeight="1" x14ac:dyDescent="0.25">
      <c r="A33" s="80"/>
      <c r="B33" s="81"/>
      <c r="C33" s="82"/>
      <c r="D33" s="82"/>
      <c r="E33" s="82"/>
      <c r="F33" s="82"/>
      <c r="G33" s="82"/>
      <c r="H33" s="81"/>
      <c r="I33" s="81"/>
      <c r="J33" s="85"/>
      <c r="K33" s="78"/>
      <c r="L33" s="86"/>
      <c r="M33" s="152"/>
      <c r="N33" s="152"/>
      <c r="O33" s="153"/>
      <c r="P33" s="156"/>
      <c r="Q33" s="157"/>
      <c r="R33" s="168"/>
      <c r="S33" s="157"/>
      <c r="T33" s="157"/>
      <c r="U33" s="165"/>
      <c r="V33" s="156"/>
      <c r="W33" s="157"/>
      <c r="X33" s="168"/>
      <c r="Y33" s="156"/>
      <c r="Z33" s="157"/>
      <c r="AA33" s="168"/>
      <c r="AB33" s="157"/>
      <c r="AC33" s="157"/>
      <c r="AD33" s="168"/>
      <c r="AE33" s="157"/>
      <c r="AF33" s="157"/>
      <c r="AG33" s="165"/>
      <c r="AH33" s="156"/>
      <c r="AI33" s="157"/>
      <c r="AJ33" s="168"/>
      <c r="AK33" s="157"/>
      <c r="AL33" s="157"/>
      <c r="AM33" s="168"/>
      <c r="AN33" s="157"/>
      <c r="AO33" s="157"/>
      <c r="AP33" s="165"/>
      <c r="AQ33" s="271"/>
      <c r="AR33" s="272"/>
    </row>
    <row r="34" spans="1:44" s="57" customFormat="1" ht="31" customHeight="1" thickBot="1" x14ac:dyDescent="0.3">
      <c r="A34" s="87"/>
      <c r="B34" s="88"/>
      <c r="C34" s="89"/>
      <c r="D34" s="89"/>
      <c r="E34" s="89"/>
      <c r="F34" s="89"/>
      <c r="G34" s="89"/>
      <c r="H34" s="88"/>
      <c r="I34" s="88"/>
      <c r="J34" s="90"/>
      <c r="K34" s="91"/>
      <c r="L34" s="92"/>
      <c r="M34" s="158"/>
      <c r="N34" s="158"/>
      <c r="O34" s="159"/>
      <c r="P34" s="160"/>
      <c r="Q34" s="161"/>
      <c r="R34" s="169"/>
      <c r="S34" s="161"/>
      <c r="T34" s="161"/>
      <c r="U34" s="166"/>
      <c r="V34" s="160"/>
      <c r="W34" s="161"/>
      <c r="X34" s="169"/>
      <c r="Y34" s="160"/>
      <c r="Z34" s="161"/>
      <c r="AA34" s="169"/>
      <c r="AB34" s="161"/>
      <c r="AC34" s="161"/>
      <c r="AD34" s="169"/>
      <c r="AE34" s="161"/>
      <c r="AF34" s="161"/>
      <c r="AG34" s="166"/>
      <c r="AH34" s="160"/>
      <c r="AI34" s="161"/>
      <c r="AJ34" s="169"/>
      <c r="AK34" s="161"/>
      <c r="AL34" s="161"/>
      <c r="AM34" s="169"/>
      <c r="AN34" s="161"/>
      <c r="AO34" s="161"/>
      <c r="AP34" s="166"/>
      <c r="AQ34" s="273"/>
      <c r="AR34" s="274"/>
    </row>
    <row r="35" spans="1:44" s="224" customFormat="1" ht="15.65" customHeight="1" x14ac:dyDescent="0.25">
      <c r="A35" s="224" t="s">
        <v>948</v>
      </c>
    </row>
    <row r="36" spans="1:44" s="224" customFormat="1" ht="15.65" customHeight="1" thickBot="1" x14ac:dyDescent="0.3"/>
    <row r="37" spans="1:44" s="203" customFormat="1" ht="31" customHeight="1" thickBot="1" x14ac:dyDescent="0.3">
      <c r="A37" s="191" t="s">
        <v>1</v>
      </c>
      <c r="B37" s="193" t="s">
        <v>2</v>
      </c>
      <c r="C37" s="193" t="s">
        <v>3</v>
      </c>
      <c r="D37" s="193" t="s">
        <v>4</v>
      </c>
      <c r="E37" s="193" t="s">
        <v>5</v>
      </c>
      <c r="F37" s="194" t="s">
        <v>6</v>
      </c>
      <c r="G37" s="193" t="s">
        <v>7</v>
      </c>
      <c r="H37" s="193" t="s">
        <v>8</v>
      </c>
      <c r="I37" s="193" t="s">
        <v>9</v>
      </c>
      <c r="J37" s="193" t="s">
        <v>10</v>
      </c>
      <c r="K37" s="195" t="s">
        <v>11</v>
      </c>
      <c r="L37" s="193" t="s">
        <v>12</v>
      </c>
      <c r="M37" s="193" t="s">
        <v>13</v>
      </c>
      <c r="N37" s="193" t="s">
        <v>14</v>
      </c>
      <c r="O37" s="194" t="s">
        <v>45</v>
      </c>
      <c r="P37" s="196" t="s">
        <v>16</v>
      </c>
      <c r="Q37" s="197" t="s">
        <v>17</v>
      </c>
      <c r="R37" s="198" t="s">
        <v>18</v>
      </c>
      <c r="S37" s="196" t="s">
        <v>19</v>
      </c>
      <c r="T37" s="197" t="s">
        <v>20</v>
      </c>
      <c r="U37" s="198" t="s">
        <v>21</v>
      </c>
      <c r="V37" s="196" t="s">
        <v>22</v>
      </c>
      <c r="W37" s="197" t="s">
        <v>23</v>
      </c>
      <c r="X37" s="198" t="s">
        <v>24</v>
      </c>
      <c r="Y37" s="196" t="s">
        <v>25</v>
      </c>
      <c r="Z37" s="197" t="s">
        <v>26</v>
      </c>
      <c r="AA37" s="198" t="s">
        <v>27</v>
      </c>
      <c r="AB37" s="199" t="s">
        <v>28</v>
      </c>
      <c r="AC37" s="200" t="s">
        <v>29</v>
      </c>
      <c r="AD37" s="201" t="s">
        <v>30</v>
      </c>
      <c r="AE37" s="196" t="s">
        <v>31</v>
      </c>
      <c r="AF37" s="197" t="s">
        <v>32</v>
      </c>
      <c r="AG37" s="198" t="s">
        <v>33</v>
      </c>
      <c r="AH37" s="196" t="s">
        <v>34</v>
      </c>
      <c r="AI37" s="197" t="s">
        <v>35</v>
      </c>
      <c r="AJ37" s="198" t="s">
        <v>36</v>
      </c>
      <c r="AK37" s="196" t="s">
        <v>37</v>
      </c>
      <c r="AL37" s="197" t="s">
        <v>38</v>
      </c>
      <c r="AM37" s="197" t="s">
        <v>39</v>
      </c>
      <c r="AN37" s="196" t="s">
        <v>40</v>
      </c>
      <c r="AO37" s="197" t="s">
        <v>41</v>
      </c>
      <c r="AP37" s="198" t="s">
        <v>42</v>
      </c>
      <c r="AQ37" s="194" t="s">
        <v>43</v>
      </c>
      <c r="AR37" s="202" t="s">
        <v>44</v>
      </c>
    </row>
    <row r="38" spans="1:44" s="229" customFormat="1" ht="31" customHeight="1" thickTop="1" x14ac:dyDescent="0.35">
      <c r="A38" s="225" t="str">
        <f t="shared" ref="A38:B53" si="0">IF(ISBLANK(A5),"",VALUE(A5))</f>
        <v/>
      </c>
      <c r="B38" s="207" t="str">
        <f t="shared" si="0"/>
        <v/>
      </c>
      <c r="C38" s="205" t="str">
        <f>IF(ISBLANK(C5),"",C5)</f>
        <v/>
      </c>
      <c r="D38" s="205" t="str">
        <f t="shared" ref="D38:L53" si="1">IF(ISBLANK(D5),"",D5)</f>
        <v/>
      </c>
      <c r="E38" s="205" t="str">
        <f t="shared" si="1"/>
        <v/>
      </c>
      <c r="F38" s="205" t="str">
        <f t="shared" si="1"/>
        <v/>
      </c>
      <c r="G38" s="205" t="str">
        <f t="shared" si="1"/>
        <v/>
      </c>
      <c r="H38" s="205" t="str">
        <f t="shared" si="1"/>
        <v/>
      </c>
      <c r="I38" s="204" t="str">
        <f t="shared" si="1"/>
        <v/>
      </c>
      <c r="J38" s="206" t="str">
        <f t="shared" si="1"/>
        <v/>
      </c>
      <c r="K38" s="214" t="str">
        <f t="shared" ref="K38:K67" si="2">IF(ISBLANK(K5),"",VALUE(K5))</f>
        <v/>
      </c>
      <c r="L38" s="204" t="str">
        <f t="shared" si="1"/>
        <v/>
      </c>
      <c r="M38" s="207" t="str">
        <f t="shared" ref="M38:Q53" si="3">IF(ISBLANK(M5),"",VALUE(M5))</f>
        <v/>
      </c>
      <c r="N38" s="226" t="str">
        <f t="shared" si="3"/>
        <v/>
      </c>
      <c r="O38" s="226" t="str">
        <f t="shared" si="3"/>
        <v/>
      </c>
      <c r="P38" s="215" t="str">
        <f t="shared" si="3"/>
        <v/>
      </c>
      <c r="Q38" s="216" t="str">
        <f t="shared" si="3"/>
        <v/>
      </c>
      <c r="R38" s="210" t="str">
        <f t="shared" ref="R38:R67" si="4">IF(P38="","",IF(AND(P38=0,Q38 = 0), "",IF(AND(P38&gt;0,Q38=0),7.99527,IF(P38/Q38&gt;7.99527,7.99527,P38/Q38))))</f>
        <v/>
      </c>
      <c r="S38" s="215" t="str">
        <f t="shared" ref="S38:T53" si="5">IF(ISBLANK(S5),"",VALUE(S5))</f>
        <v/>
      </c>
      <c r="T38" s="216" t="str">
        <f t="shared" si="5"/>
        <v/>
      </c>
      <c r="U38" s="210" t="str">
        <f t="shared" ref="U38:U67" si="6">IF(S38="","",IF(AND(S38=0,T38 = 0), "",IF(AND(S38&gt;0,T38=0),7.99527,IF(S38/T38&gt;7.99527,7.99527,S38/T38))))</f>
        <v/>
      </c>
      <c r="V38" s="215" t="str">
        <f t="shared" ref="V38:W53" si="7">IF(ISBLANK(V5),"",VALUE(V5))</f>
        <v/>
      </c>
      <c r="W38" s="216" t="str">
        <f t="shared" si="7"/>
        <v/>
      </c>
      <c r="X38" s="210" t="str">
        <f t="shared" ref="X38:X67" si="8">IF(V38="","",IF(AND(V38=0,W38 = 0), "",IF(AND(V38&gt;0,W38=0),7.99527,IF(V38/W38&gt;7.99527,7.99527,V38/W38))))</f>
        <v/>
      </c>
      <c r="Y38" s="215" t="str">
        <f t="shared" ref="Y38:Z53" si="9">IF(ISBLANK(Y5),"",VALUE(Y5))</f>
        <v/>
      </c>
      <c r="Z38" s="216" t="str">
        <f t="shared" si="9"/>
        <v/>
      </c>
      <c r="AA38" s="210" t="str">
        <f t="shared" ref="AA38:AA67" si="10">IF(Y38="","",IF(AND(Y38=0,Z38 = 0), "",IF(AND(Y38&gt;0,Z38=0),7.99527,IF(Y38/Z38&gt;7.99527,7.99527,Y38/Z38))))</f>
        <v/>
      </c>
      <c r="AB38" s="215" t="str">
        <f t="shared" ref="AB38:AC53" si="11">IF(ISBLANK(AB5),"",VALUE(AB5))</f>
        <v/>
      </c>
      <c r="AC38" s="209" t="str">
        <f t="shared" si="11"/>
        <v/>
      </c>
      <c r="AD38" s="210" t="str">
        <f t="shared" ref="AD38:AD67" si="12">IF(AB38="","",IF(AND(AB38=0,AC38 = 0), "",IF(AND(AB38&gt;0,AC38=0),7.99527,IF(AB38/AC38&gt;7.99527,7.99527,AB38/AC38))))</f>
        <v/>
      </c>
      <c r="AE38" s="215" t="str">
        <f t="shared" ref="AE38:AF38" si="13">IF(ISBLANK(AE5),"",VALUE(AE5))</f>
        <v/>
      </c>
      <c r="AF38" s="209" t="str">
        <f t="shared" si="13"/>
        <v/>
      </c>
      <c r="AG38" s="210" t="str">
        <f t="shared" ref="AG38:AG67" si="14">IF(AE38="","",IF(AND(AE38=0,AF38 = 0), "",IF(AND(AE38&gt;0,AF38=0),7.99527,IF(AE38/AF38&gt;7.99527,7.99527,AE38/AF38))))</f>
        <v/>
      </c>
      <c r="AH38" s="208" t="str">
        <f t="shared" ref="AH38:AI53" si="15">IF(ISBLANK(AH5),"",VALUE(AH5))</f>
        <v/>
      </c>
      <c r="AI38" s="209" t="str">
        <f t="shared" si="15"/>
        <v/>
      </c>
      <c r="AJ38" s="210" t="str">
        <f t="shared" ref="AJ38:AJ67" si="16">IF(AH38="","",IF(AND(AH38=0,AI38 = 0), "",IF(AND(AH38&gt;0,AI38=0),7.99527,IF(AH38/AI38&gt;7.99527,7.99527,AH38/AI38))))</f>
        <v/>
      </c>
      <c r="AK38" s="208" t="str">
        <f>IF(AND(ISBLANK(AH5),ISBLANK(AK5)),"",IF(ISBLANK(AK5),0,VALUE(AK5)))</f>
        <v/>
      </c>
      <c r="AL38" s="209" t="str">
        <f t="shared" ref="AK38:AL53" si="17">IF(AND(ISBLANK(AI5),ISBLANK(AL5)),"",IF(ISBLANK(AL5),0,VALUE(AL5)))</f>
        <v/>
      </c>
      <c r="AM38" s="227" t="str">
        <f t="shared" ref="AM38:AM67" si="18">IF(AK38="","",IF(AND(AK38=0,AL38 = 0), "",IF(AND(AK38&gt;0,AL38=0),7.99527,IF(AK38/AL38&gt;7.99527,7.99527,AK38/AL38))))</f>
        <v/>
      </c>
      <c r="AN38" s="215" t="str">
        <f t="shared" ref="AN38:AO53" si="19">IF(ISBLANK(AN5),"",VALUE(AN5))</f>
        <v/>
      </c>
      <c r="AO38" s="216" t="str">
        <f t="shared" si="19"/>
        <v/>
      </c>
      <c r="AP38" s="210" t="str">
        <f t="shared" ref="AP38:AP67" si="20">IF(AN38="","",IF(AND(AN38=0,AO38 = 0), "",IF(AND(AN38&gt;0,AO38=0),7.99527,IF(AN38/AO38&gt;7.99527,7.99527,AN38/AO38))))</f>
        <v/>
      </c>
      <c r="AQ38" s="228" t="str">
        <f>IF(ISBLANK(AQ5),"",AQ5)</f>
        <v/>
      </c>
      <c r="AR38" s="228" t="str">
        <f>IF(ISBLANK(AR5),"",AR5)</f>
        <v/>
      </c>
    </row>
    <row r="39" spans="1:44" s="229" customFormat="1" ht="31" customHeight="1" x14ac:dyDescent="0.35">
      <c r="A39" s="230" t="str">
        <f t="shared" si="0"/>
        <v/>
      </c>
      <c r="B39" s="214" t="str">
        <f t="shared" si="0"/>
        <v/>
      </c>
      <c r="C39" s="212" t="str">
        <f t="shared" ref="C39:L54" si="21">IF(ISBLANK(C6),"",C6)</f>
        <v/>
      </c>
      <c r="D39" s="212" t="str">
        <f t="shared" si="21"/>
        <v/>
      </c>
      <c r="E39" s="212" t="str">
        <f t="shared" si="1"/>
        <v/>
      </c>
      <c r="F39" s="212" t="str">
        <f t="shared" si="1"/>
        <v/>
      </c>
      <c r="G39" s="212" t="str">
        <f t="shared" si="1"/>
        <v/>
      </c>
      <c r="H39" s="212" t="str">
        <f t="shared" si="21"/>
        <v/>
      </c>
      <c r="I39" s="211" t="str">
        <f t="shared" si="21"/>
        <v/>
      </c>
      <c r="J39" s="213" t="str">
        <f t="shared" si="21"/>
        <v/>
      </c>
      <c r="K39" s="214" t="str">
        <f t="shared" si="2"/>
        <v/>
      </c>
      <c r="L39" s="231" t="str">
        <f t="shared" si="21"/>
        <v/>
      </c>
      <c r="M39" s="214" t="str">
        <f t="shared" si="3"/>
        <v/>
      </c>
      <c r="N39" s="214" t="str">
        <f t="shared" si="3"/>
        <v/>
      </c>
      <c r="O39" s="214" t="str">
        <f t="shared" si="3"/>
        <v/>
      </c>
      <c r="P39" s="215" t="str">
        <f t="shared" si="3"/>
        <v/>
      </c>
      <c r="Q39" s="216" t="str">
        <f t="shared" si="3"/>
        <v/>
      </c>
      <c r="R39" s="210" t="str">
        <f t="shared" si="4"/>
        <v/>
      </c>
      <c r="S39" s="215" t="str">
        <f t="shared" si="5"/>
        <v/>
      </c>
      <c r="T39" s="216" t="str">
        <f t="shared" si="5"/>
        <v/>
      </c>
      <c r="U39" s="210" t="str">
        <f t="shared" si="6"/>
        <v/>
      </c>
      <c r="V39" s="215" t="str">
        <f t="shared" si="7"/>
        <v/>
      </c>
      <c r="W39" s="216" t="str">
        <f t="shared" si="7"/>
        <v/>
      </c>
      <c r="X39" s="210" t="str">
        <f t="shared" si="8"/>
        <v/>
      </c>
      <c r="Y39" s="215" t="str">
        <f t="shared" si="9"/>
        <v/>
      </c>
      <c r="Z39" s="216" t="str">
        <f t="shared" si="9"/>
        <v/>
      </c>
      <c r="AA39" s="210" t="str">
        <f t="shared" si="10"/>
        <v/>
      </c>
      <c r="AB39" s="215" t="str">
        <f t="shared" si="11"/>
        <v/>
      </c>
      <c r="AC39" s="216" t="str">
        <f t="shared" si="11"/>
        <v/>
      </c>
      <c r="AD39" s="210" t="str">
        <f t="shared" si="12"/>
        <v/>
      </c>
      <c r="AE39" s="215" t="str">
        <f t="shared" ref="AE39:AF39" si="22">IF(ISBLANK(AE6),"",VALUE(AE6))</f>
        <v/>
      </c>
      <c r="AF39" s="216" t="str">
        <f t="shared" si="22"/>
        <v/>
      </c>
      <c r="AG39" s="210" t="str">
        <f t="shared" si="14"/>
        <v/>
      </c>
      <c r="AH39" s="215" t="str">
        <f t="shared" si="15"/>
        <v/>
      </c>
      <c r="AI39" s="216" t="str">
        <f t="shared" si="15"/>
        <v/>
      </c>
      <c r="AJ39" s="210" t="str">
        <f t="shared" si="16"/>
        <v/>
      </c>
      <c r="AK39" s="215" t="str">
        <f t="shared" si="17"/>
        <v/>
      </c>
      <c r="AL39" s="216" t="str">
        <f t="shared" si="17"/>
        <v/>
      </c>
      <c r="AM39" s="210" t="str">
        <f t="shared" si="18"/>
        <v/>
      </c>
      <c r="AN39" s="215" t="str">
        <f t="shared" si="19"/>
        <v/>
      </c>
      <c r="AO39" s="216" t="str">
        <f t="shared" si="19"/>
        <v/>
      </c>
      <c r="AP39" s="210" t="str">
        <f t="shared" si="20"/>
        <v/>
      </c>
      <c r="AQ39" s="232" t="str">
        <f t="shared" ref="AQ39:AR54" si="23">IF(ISBLANK(AQ6),"",AQ6)</f>
        <v/>
      </c>
      <c r="AR39" s="232" t="str">
        <f t="shared" si="23"/>
        <v/>
      </c>
    </row>
    <row r="40" spans="1:44" s="229" customFormat="1" ht="31" customHeight="1" x14ac:dyDescent="0.35">
      <c r="A40" s="230" t="str">
        <f t="shared" si="0"/>
        <v/>
      </c>
      <c r="B40" s="214" t="str">
        <f t="shared" si="0"/>
        <v/>
      </c>
      <c r="C40" s="212" t="str">
        <f t="shared" si="21"/>
        <v/>
      </c>
      <c r="D40" s="212" t="str">
        <f t="shared" si="21"/>
        <v/>
      </c>
      <c r="E40" s="212" t="str">
        <f t="shared" si="1"/>
        <v/>
      </c>
      <c r="F40" s="212" t="str">
        <f t="shared" si="1"/>
        <v/>
      </c>
      <c r="G40" s="212" t="str">
        <f t="shared" si="1"/>
        <v/>
      </c>
      <c r="H40" s="212" t="str">
        <f t="shared" si="21"/>
        <v/>
      </c>
      <c r="I40" s="211" t="str">
        <f t="shared" si="21"/>
        <v/>
      </c>
      <c r="J40" s="218" t="str">
        <f t="shared" si="21"/>
        <v/>
      </c>
      <c r="K40" s="214" t="str">
        <f t="shared" si="2"/>
        <v/>
      </c>
      <c r="L40" s="211" t="str">
        <f t="shared" si="21"/>
        <v/>
      </c>
      <c r="M40" s="214" t="str">
        <f t="shared" si="3"/>
        <v/>
      </c>
      <c r="N40" s="214" t="str">
        <f t="shared" si="3"/>
        <v/>
      </c>
      <c r="O40" s="214" t="str">
        <f t="shared" si="3"/>
        <v/>
      </c>
      <c r="P40" s="215" t="str">
        <f t="shared" si="3"/>
        <v/>
      </c>
      <c r="Q40" s="216" t="str">
        <f t="shared" si="3"/>
        <v/>
      </c>
      <c r="R40" s="210" t="str">
        <f t="shared" si="4"/>
        <v/>
      </c>
      <c r="S40" s="215" t="str">
        <f t="shared" si="5"/>
        <v/>
      </c>
      <c r="T40" s="216" t="str">
        <f t="shared" si="5"/>
        <v/>
      </c>
      <c r="U40" s="210" t="str">
        <f t="shared" si="6"/>
        <v/>
      </c>
      <c r="V40" s="215" t="str">
        <f t="shared" si="7"/>
        <v/>
      </c>
      <c r="W40" s="216" t="str">
        <f t="shared" si="7"/>
        <v/>
      </c>
      <c r="X40" s="210" t="str">
        <f t="shared" si="8"/>
        <v/>
      </c>
      <c r="Y40" s="215" t="str">
        <f t="shared" si="9"/>
        <v/>
      </c>
      <c r="Z40" s="216" t="str">
        <f t="shared" si="9"/>
        <v/>
      </c>
      <c r="AA40" s="210" t="str">
        <f t="shared" si="10"/>
        <v/>
      </c>
      <c r="AB40" s="215" t="str">
        <f t="shared" si="11"/>
        <v/>
      </c>
      <c r="AC40" s="216" t="str">
        <f t="shared" si="11"/>
        <v/>
      </c>
      <c r="AD40" s="210" t="str">
        <f t="shared" si="12"/>
        <v/>
      </c>
      <c r="AE40" s="215" t="str">
        <f t="shared" ref="AE40:AF40" si="24">IF(ISBLANK(AE7),"",VALUE(AE7))</f>
        <v/>
      </c>
      <c r="AF40" s="216" t="str">
        <f t="shared" si="24"/>
        <v/>
      </c>
      <c r="AG40" s="210" t="str">
        <f t="shared" si="14"/>
        <v/>
      </c>
      <c r="AH40" s="215" t="str">
        <f t="shared" si="15"/>
        <v/>
      </c>
      <c r="AI40" s="216" t="str">
        <f t="shared" si="15"/>
        <v/>
      </c>
      <c r="AJ40" s="210" t="str">
        <f t="shared" si="16"/>
        <v/>
      </c>
      <c r="AK40" s="215" t="str">
        <f t="shared" si="17"/>
        <v/>
      </c>
      <c r="AL40" s="216" t="str">
        <f t="shared" si="17"/>
        <v/>
      </c>
      <c r="AM40" s="210" t="str">
        <f t="shared" si="18"/>
        <v/>
      </c>
      <c r="AN40" s="215" t="str">
        <f t="shared" si="19"/>
        <v/>
      </c>
      <c r="AO40" s="216" t="str">
        <f t="shared" si="19"/>
        <v/>
      </c>
      <c r="AP40" s="210" t="str">
        <f t="shared" si="20"/>
        <v/>
      </c>
      <c r="AQ40" s="232" t="str">
        <f t="shared" si="23"/>
        <v/>
      </c>
      <c r="AR40" s="232" t="str">
        <f t="shared" si="23"/>
        <v/>
      </c>
    </row>
    <row r="41" spans="1:44" s="229" customFormat="1" ht="31" customHeight="1" x14ac:dyDescent="0.35">
      <c r="A41" s="230" t="str">
        <f t="shared" si="0"/>
        <v/>
      </c>
      <c r="B41" s="214" t="str">
        <f t="shared" si="0"/>
        <v/>
      </c>
      <c r="C41" s="212" t="str">
        <f t="shared" si="21"/>
        <v/>
      </c>
      <c r="D41" s="212" t="str">
        <f t="shared" si="21"/>
        <v/>
      </c>
      <c r="E41" s="212" t="str">
        <f t="shared" si="1"/>
        <v/>
      </c>
      <c r="F41" s="212" t="str">
        <f t="shared" si="1"/>
        <v/>
      </c>
      <c r="G41" s="212" t="str">
        <f t="shared" si="1"/>
        <v/>
      </c>
      <c r="H41" s="212" t="str">
        <f t="shared" si="21"/>
        <v/>
      </c>
      <c r="I41" s="211" t="str">
        <f t="shared" si="21"/>
        <v/>
      </c>
      <c r="J41" s="218" t="str">
        <f t="shared" si="21"/>
        <v/>
      </c>
      <c r="K41" s="214" t="str">
        <f t="shared" si="2"/>
        <v/>
      </c>
      <c r="L41" s="211" t="str">
        <f t="shared" si="21"/>
        <v/>
      </c>
      <c r="M41" s="214" t="str">
        <f t="shared" si="3"/>
        <v/>
      </c>
      <c r="N41" s="214" t="str">
        <f t="shared" si="3"/>
        <v/>
      </c>
      <c r="O41" s="214" t="str">
        <f t="shared" si="3"/>
        <v/>
      </c>
      <c r="P41" s="215" t="str">
        <f t="shared" si="3"/>
        <v/>
      </c>
      <c r="Q41" s="216" t="str">
        <f t="shared" si="3"/>
        <v/>
      </c>
      <c r="R41" s="210" t="str">
        <f t="shared" si="4"/>
        <v/>
      </c>
      <c r="S41" s="215" t="str">
        <f t="shared" si="5"/>
        <v/>
      </c>
      <c r="T41" s="216" t="str">
        <f t="shared" si="5"/>
        <v/>
      </c>
      <c r="U41" s="210" t="str">
        <f t="shared" si="6"/>
        <v/>
      </c>
      <c r="V41" s="215" t="str">
        <f t="shared" si="7"/>
        <v/>
      </c>
      <c r="W41" s="216" t="str">
        <f t="shared" si="7"/>
        <v/>
      </c>
      <c r="X41" s="210" t="str">
        <f t="shared" si="8"/>
        <v/>
      </c>
      <c r="Y41" s="215" t="str">
        <f t="shared" si="9"/>
        <v/>
      </c>
      <c r="Z41" s="216" t="str">
        <f t="shared" si="9"/>
        <v/>
      </c>
      <c r="AA41" s="210" t="str">
        <f t="shared" si="10"/>
        <v/>
      </c>
      <c r="AB41" s="215" t="str">
        <f t="shared" si="11"/>
        <v/>
      </c>
      <c r="AC41" s="216" t="str">
        <f t="shared" si="11"/>
        <v/>
      </c>
      <c r="AD41" s="210" t="str">
        <f t="shared" si="12"/>
        <v/>
      </c>
      <c r="AE41" s="215" t="str">
        <f t="shared" ref="AE41:AF41" si="25">IF(ISBLANK(AE8),"",VALUE(AE8))</f>
        <v/>
      </c>
      <c r="AF41" s="216" t="str">
        <f t="shared" si="25"/>
        <v/>
      </c>
      <c r="AG41" s="210" t="str">
        <f t="shared" si="14"/>
        <v/>
      </c>
      <c r="AH41" s="215" t="str">
        <f t="shared" si="15"/>
        <v/>
      </c>
      <c r="AI41" s="216" t="str">
        <f t="shared" si="15"/>
        <v/>
      </c>
      <c r="AJ41" s="210" t="str">
        <f t="shared" si="16"/>
        <v/>
      </c>
      <c r="AK41" s="215" t="str">
        <f t="shared" si="17"/>
        <v/>
      </c>
      <c r="AL41" s="216" t="str">
        <f t="shared" si="17"/>
        <v/>
      </c>
      <c r="AM41" s="210" t="str">
        <f t="shared" si="18"/>
        <v/>
      </c>
      <c r="AN41" s="215" t="str">
        <f t="shared" si="19"/>
        <v/>
      </c>
      <c r="AO41" s="216" t="str">
        <f t="shared" si="19"/>
        <v/>
      </c>
      <c r="AP41" s="210" t="str">
        <f t="shared" si="20"/>
        <v/>
      </c>
      <c r="AQ41" s="232" t="str">
        <f t="shared" si="23"/>
        <v/>
      </c>
      <c r="AR41" s="232" t="str">
        <f t="shared" si="23"/>
        <v/>
      </c>
    </row>
    <row r="42" spans="1:44" s="229" customFormat="1" ht="31" customHeight="1" x14ac:dyDescent="0.35">
      <c r="A42" s="230" t="str">
        <f t="shared" si="0"/>
        <v/>
      </c>
      <c r="B42" s="214" t="str">
        <f t="shared" si="0"/>
        <v/>
      </c>
      <c r="C42" s="212" t="str">
        <f t="shared" si="21"/>
        <v/>
      </c>
      <c r="D42" s="212" t="str">
        <f t="shared" si="21"/>
        <v/>
      </c>
      <c r="E42" s="212" t="str">
        <f t="shared" si="1"/>
        <v/>
      </c>
      <c r="F42" s="212" t="str">
        <f t="shared" si="1"/>
        <v/>
      </c>
      <c r="G42" s="212" t="str">
        <f t="shared" si="1"/>
        <v/>
      </c>
      <c r="H42" s="212" t="str">
        <f t="shared" si="21"/>
        <v/>
      </c>
      <c r="I42" s="211" t="str">
        <f t="shared" si="21"/>
        <v/>
      </c>
      <c r="J42" s="218" t="str">
        <f t="shared" si="21"/>
        <v/>
      </c>
      <c r="K42" s="214" t="str">
        <f t="shared" si="2"/>
        <v/>
      </c>
      <c r="L42" s="211" t="str">
        <f t="shared" si="21"/>
        <v/>
      </c>
      <c r="M42" s="214" t="str">
        <f t="shared" si="3"/>
        <v/>
      </c>
      <c r="N42" s="214" t="str">
        <f t="shared" si="3"/>
        <v/>
      </c>
      <c r="O42" s="214" t="str">
        <f t="shared" si="3"/>
        <v/>
      </c>
      <c r="P42" s="215" t="str">
        <f t="shared" si="3"/>
        <v/>
      </c>
      <c r="Q42" s="216" t="str">
        <f t="shared" si="3"/>
        <v/>
      </c>
      <c r="R42" s="210" t="str">
        <f t="shared" si="4"/>
        <v/>
      </c>
      <c r="S42" s="215" t="str">
        <f t="shared" si="5"/>
        <v/>
      </c>
      <c r="T42" s="216" t="str">
        <f t="shared" si="5"/>
        <v/>
      </c>
      <c r="U42" s="210" t="str">
        <f t="shared" si="6"/>
        <v/>
      </c>
      <c r="V42" s="215" t="str">
        <f t="shared" si="7"/>
        <v/>
      </c>
      <c r="W42" s="216" t="str">
        <f t="shared" si="7"/>
        <v/>
      </c>
      <c r="X42" s="210" t="str">
        <f t="shared" si="8"/>
        <v/>
      </c>
      <c r="Y42" s="215" t="str">
        <f t="shared" si="9"/>
        <v/>
      </c>
      <c r="Z42" s="216" t="str">
        <f t="shared" si="9"/>
        <v/>
      </c>
      <c r="AA42" s="210" t="str">
        <f t="shared" si="10"/>
        <v/>
      </c>
      <c r="AB42" s="215" t="str">
        <f t="shared" si="11"/>
        <v/>
      </c>
      <c r="AC42" s="216" t="str">
        <f t="shared" si="11"/>
        <v/>
      </c>
      <c r="AD42" s="210" t="str">
        <f t="shared" si="12"/>
        <v/>
      </c>
      <c r="AE42" s="215" t="str">
        <f t="shared" ref="AE42:AF42" si="26">IF(ISBLANK(AE9),"",VALUE(AE9))</f>
        <v/>
      </c>
      <c r="AF42" s="216" t="str">
        <f t="shared" si="26"/>
        <v/>
      </c>
      <c r="AG42" s="210" t="str">
        <f t="shared" si="14"/>
        <v/>
      </c>
      <c r="AH42" s="215" t="str">
        <f t="shared" si="15"/>
        <v/>
      </c>
      <c r="AI42" s="216" t="str">
        <f t="shared" si="15"/>
        <v/>
      </c>
      <c r="AJ42" s="210" t="str">
        <f t="shared" si="16"/>
        <v/>
      </c>
      <c r="AK42" s="215" t="str">
        <f t="shared" si="17"/>
        <v/>
      </c>
      <c r="AL42" s="216" t="str">
        <f t="shared" si="17"/>
        <v/>
      </c>
      <c r="AM42" s="210" t="str">
        <f t="shared" si="18"/>
        <v/>
      </c>
      <c r="AN42" s="215" t="str">
        <f t="shared" si="19"/>
        <v/>
      </c>
      <c r="AO42" s="216" t="str">
        <f t="shared" si="19"/>
        <v/>
      </c>
      <c r="AP42" s="210" t="str">
        <f t="shared" si="20"/>
        <v/>
      </c>
      <c r="AQ42" s="232" t="str">
        <f t="shared" si="23"/>
        <v/>
      </c>
      <c r="AR42" s="232" t="str">
        <f t="shared" si="23"/>
        <v/>
      </c>
    </row>
    <row r="43" spans="1:44" s="229" customFormat="1" ht="31" customHeight="1" x14ac:dyDescent="0.35">
      <c r="A43" s="230" t="str">
        <f t="shared" si="0"/>
        <v/>
      </c>
      <c r="B43" s="214" t="str">
        <f t="shared" si="0"/>
        <v/>
      </c>
      <c r="C43" s="212" t="str">
        <f t="shared" si="21"/>
        <v/>
      </c>
      <c r="D43" s="212" t="str">
        <f t="shared" si="21"/>
        <v/>
      </c>
      <c r="E43" s="212" t="str">
        <f t="shared" si="1"/>
        <v/>
      </c>
      <c r="F43" s="212" t="str">
        <f t="shared" si="1"/>
        <v/>
      </c>
      <c r="G43" s="212" t="str">
        <f t="shared" si="1"/>
        <v/>
      </c>
      <c r="H43" s="212" t="str">
        <f t="shared" si="21"/>
        <v/>
      </c>
      <c r="I43" s="211" t="str">
        <f t="shared" si="21"/>
        <v/>
      </c>
      <c r="J43" s="218" t="str">
        <f t="shared" si="21"/>
        <v/>
      </c>
      <c r="K43" s="214" t="str">
        <f t="shared" si="2"/>
        <v/>
      </c>
      <c r="L43" s="211" t="str">
        <f t="shared" si="21"/>
        <v/>
      </c>
      <c r="M43" s="214" t="str">
        <f t="shared" si="3"/>
        <v/>
      </c>
      <c r="N43" s="214" t="str">
        <f t="shared" si="3"/>
        <v/>
      </c>
      <c r="O43" s="214" t="str">
        <f t="shared" si="3"/>
        <v/>
      </c>
      <c r="P43" s="215" t="str">
        <f t="shared" si="3"/>
        <v/>
      </c>
      <c r="Q43" s="216" t="str">
        <f t="shared" si="3"/>
        <v/>
      </c>
      <c r="R43" s="210" t="str">
        <f t="shared" si="4"/>
        <v/>
      </c>
      <c r="S43" s="215" t="str">
        <f t="shared" si="5"/>
        <v/>
      </c>
      <c r="T43" s="216" t="str">
        <f t="shared" si="5"/>
        <v/>
      </c>
      <c r="U43" s="210" t="str">
        <f t="shared" si="6"/>
        <v/>
      </c>
      <c r="V43" s="215" t="str">
        <f t="shared" si="7"/>
        <v/>
      </c>
      <c r="W43" s="216" t="str">
        <f t="shared" si="7"/>
        <v/>
      </c>
      <c r="X43" s="210" t="str">
        <f t="shared" si="8"/>
        <v/>
      </c>
      <c r="Y43" s="215" t="str">
        <f t="shared" si="9"/>
        <v/>
      </c>
      <c r="Z43" s="216" t="str">
        <f t="shared" si="9"/>
        <v/>
      </c>
      <c r="AA43" s="210" t="str">
        <f t="shared" si="10"/>
        <v/>
      </c>
      <c r="AB43" s="215" t="str">
        <f t="shared" si="11"/>
        <v/>
      </c>
      <c r="AC43" s="216" t="str">
        <f t="shared" si="11"/>
        <v/>
      </c>
      <c r="AD43" s="210" t="str">
        <f t="shared" si="12"/>
        <v/>
      </c>
      <c r="AE43" s="215" t="str">
        <f t="shared" ref="AE43:AF43" si="27">IF(ISBLANK(AE10),"",VALUE(AE10))</f>
        <v/>
      </c>
      <c r="AF43" s="216" t="str">
        <f t="shared" si="27"/>
        <v/>
      </c>
      <c r="AG43" s="210" t="str">
        <f t="shared" si="14"/>
        <v/>
      </c>
      <c r="AH43" s="215" t="str">
        <f t="shared" si="15"/>
        <v/>
      </c>
      <c r="AI43" s="216" t="str">
        <f t="shared" si="15"/>
        <v/>
      </c>
      <c r="AJ43" s="210" t="str">
        <f t="shared" si="16"/>
        <v/>
      </c>
      <c r="AK43" s="215" t="str">
        <f t="shared" si="17"/>
        <v/>
      </c>
      <c r="AL43" s="216" t="str">
        <f t="shared" si="17"/>
        <v/>
      </c>
      <c r="AM43" s="210" t="str">
        <f t="shared" si="18"/>
        <v/>
      </c>
      <c r="AN43" s="215" t="str">
        <f t="shared" si="19"/>
        <v/>
      </c>
      <c r="AO43" s="216" t="str">
        <f t="shared" si="19"/>
        <v/>
      </c>
      <c r="AP43" s="210" t="str">
        <f t="shared" si="20"/>
        <v/>
      </c>
      <c r="AQ43" s="232" t="str">
        <f t="shared" si="23"/>
        <v/>
      </c>
      <c r="AR43" s="232" t="str">
        <f t="shared" si="23"/>
        <v/>
      </c>
    </row>
    <row r="44" spans="1:44" s="229" customFormat="1" ht="31" customHeight="1" x14ac:dyDescent="0.35">
      <c r="A44" s="230" t="str">
        <f t="shared" si="0"/>
        <v/>
      </c>
      <c r="B44" s="214" t="str">
        <f t="shared" si="0"/>
        <v/>
      </c>
      <c r="C44" s="212" t="str">
        <f t="shared" si="21"/>
        <v/>
      </c>
      <c r="D44" s="212" t="str">
        <f t="shared" si="21"/>
        <v/>
      </c>
      <c r="E44" s="212" t="str">
        <f t="shared" si="1"/>
        <v/>
      </c>
      <c r="F44" s="212" t="str">
        <f t="shared" si="1"/>
        <v/>
      </c>
      <c r="G44" s="212" t="str">
        <f t="shared" si="1"/>
        <v/>
      </c>
      <c r="H44" s="212" t="str">
        <f t="shared" si="21"/>
        <v/>
      </c>
      <c r="I44" s="211" t="str">
        <f t="shared" si="21"/>
        <v/>
      </c>
      <c r="J44" s="218" t="str">
        <f t="shared" si="21"/>
        <v/>
      </c>
      <c r="K44" s="214" t="str">
        <f t="shared" si="2"/>
        <v/>
      </c>
      <c r="L44" s="211" t="str">
        <f t="shared" si="21"/>
        <v/>
      </c>
      <c r="M44" s="214" t="str">
        <f t="shared" si="3"/>
        <v/>
      </c>
      <c r="N44" s="214" t="str">
        <f t="shared" si="3"/>
        <v/>
      </c>
      <c r="O44" s="214" t="str">
        <f t="shared" si="3"/>
        <v/>
      </c>
      <c r="P44" s="215" t="str">
        <f t="shared" si="3"/>
        <v/>
      </c>
      <c r="Q44" s="216" t="str">
        <f t="shared" si="3"/>
        <v/>
      </c>
      <c r="R44" s="210" t="str">
        <f t="shared" si="4"/>
        <v/>
      </c>
      <c r="S44" s="215" t="str">
        <f t="shared" si="5"/>
        <v/>
      </c>
      <c r="T44" s="216" t="str">
        <f t="shared" si="5"/>
        <v/>
      </c>
      <c r="U44" s="210" t="str">
        <f t="shared" si="6"/>
        <v/>
      </c>
      <c r="V44" s="215" t="str">
        <f t="shared" si="7"/>
        <v/>
      </c>
      <c r="W44" s="216" t="str">
        <f t="shared" si="7"/>
        <v/>
      </c>
      <c r="X44" s="210" t="str">
        <f t="shared" si="8"/>
        <v/>
      </c>
      <c r="Y44" s="215" t="str">
        <f t="shared" si="9"/>
        <v/>
      </c>
      <c r="Z44" s="216" t="str">
        <f t="shared" si="9"/>
        <v/>
      </c>
      <c r="AA44" s="210" t="str">
        <f t="shared" si="10"/>
        <v/>
      </c>
      <c r="AB44" s="215" t="str">
        <f t="shared" si="11"/>
        <v/>
      </c>
      <c r="AC44" s="216" t="str">
        <f t="shared" si="11"/>
        <v/>
      </c>
      <c r="AD44" s="210" t="str">
        <f t="shared" si="12"/>
        <v/>
      </c>
      <c r="AE44" s="215" t="str">
        <f t="shared" ref="AE44:AF44" si="28">IF(ISBLANK(AE11),"",VALUE(AE11))</f>
        <v/>
      </c>
      <c r="AF44" s="216" t="str">
        <f t="shared" si="28"/>
        <v/>
      </c>
      <c r="AG44" s="210" t="str">
        <f t="shared" si="14"/>
        <v/>
      </c>
      <c r="AH44" s="215" t="str">
        <f t="shared" si="15"/>
        <v/>
      </c>
      <c r="AI44" s="216" t="str">
        <f t="shared" si="15"/>
        <v/>
      </c>
      <c r="AJ44" s="210" t="str">
        <f t="shared" si="16"/>
        <v/>
      </c>
      <c r="AK44" s="215" t="str">
        <f t="shared" si="17"/>
        <v/>
      </c>
      <c r="AL44" s="216" t="str">
        <f t="shared" si="17"/>
        <v/>
      </c>
      <c r="AM44" s="210" t="str">
        <f t="shared" si="18"/>
        <v/>
      </c>
      <c r="AN44" s="215" t="str">
        <f t="shared" si="19"/>
        <v/>
      </c>
      <c r="AO44" s="216" t="str">
        <f t="shared" si="19"/>
        <v/>
      </c>
      <c r="AP44" s="210" t="str">
        <f t="shared" si="20"/>
        <v/>
      </c>
      <c r="AQ44" s="232" t="str">
        <f t="shared" si="23"/>
        <v/>
      </c>
      <c r="AR44" s="232" t="str">
        <f t="shared" si="23"/>
        <v/>
      </c>
    </row>
    <row r="45" spans="1:44" s="229" customFormat="1" ht="31" customHeight="1" x14ac:dyDescent="0.35">
      <c r="A45" s="230" t="str">
        <f t="shared" si="0"/>
        <v/>
      </c>
      <c r="B45" s="214" t="str">
        <f t="shared" si="0"/>
        <v/>
      </c>
      <c r="C45" s="212" t="str">
        <f t="shared" si="21"/>
        <v/>
      </c>
      <c r="D45" s="212" t="str">
        <f t="shared" si="21"/>
        <v/>
      </c>
      <c r="E45" s="212" t="str">
        <f t="shared" si="1"/>
        <v/>
      </c>
      <c r="F45" s="212" t="str">
        <f t="shared" si="1"/>
        <v/>
      </c>
      <c r="G45" s="212" t="str">
        <f t="shared" si="1"/>
        <v/>
      </c>
      <c r="H45" s="212" t="str">
        <f t="shared" si="21"/>
        <v/>
      </c>
      <c r="I45" s="211" t="str">
        <f t="shared" si="21"/>
        <v/>
      </c>
      <c r="J45" s="218" t="str">
        <f t="shared" si="21"/>
        <v/>
      </c>
      <c r="K45" s="214" t="str">
        <f t="shared" si="2"/>
        <v/>
      </c>
      <c r="L45" s="211" t="str">
        <f t="shared" si="21"/>
        <v/>
      </c>
      <c r="M45" s="214" t="str">
        <f t="shared" si="3"/>
        <v/>
      </c>
      <c r="N45" s="214" t="str">
        <f t="shared" si="3"/>
        <v/>
      </c>
      <c r="O45" s="214" t="str">
        <f t="shared" si="3"/>
        <v/>
      </c>
      <c r="P45" s="215" t="str">
        <f t="shared" si="3"/>
        <v/>
      </c>
      <c r="Q45" s="216" t="str">
        <f t="shared" si="3"/>
        <v/>
      </c>
      <c r="R45" s="210" t="str">
        <f t="shared" si="4"/>
        <v/>
      </c>
      <c r="S45" s="215" t="str">
        <f t="shared" si="5"/>
        <v/>
      </c>
      <c r="T45" s="216" t="str">
        <f t="shared" si="5"/>
        <v/>
      </c>
      <c r="U45" s="210" t="str">
        <f t="shared" si="6"/>
        <v/>
      </c>
      <c r="V45" s="215" t="str">
        <f t="shared" si="7"/>
        <v/>
      </c>
      <c r="W45" s="216" t="str">
        <f t="shared" si="7"/>
        <v/>
      </c>
      <c r="X45" s="210" t="str">
        <f t="shared" si="8"/>
        <v/>
      </c>
      <c r="Y45" s="215" t="str">
        <f t="shared" si="9"/>
        <v/>
      </c>
      <c r="Z45" s="216" t="str">
        <f t="shared" si="9"/>
        <v/>
      </c>
      <c r="AA45" s="210" t="str">
        <f t="shared" si="10"/>
        <v/>
      </c>
      <c r="AB45" s="215" t="str">
        <f t="shared" si="11"/>
        <v/>
      </c>
      <c r="AC45" s="216" t="str">
        <f t="shared" si="11"/>
        <v/>
      </c>
      <c r="AD45" s="210" t="str">
        <f t="shared" si="12"/>
        <v/>
      </c>
      <c r="AE45" s="215" t="str">
        <f t="shared" ref="AE45:AF45" si="29">IF(ISBLANK(AE12),"",VALUE(AE12))</f>
        <v/>
      </c>
      <c r="AF45" s="216" t="str">
        <f t="shared" si="29"/>
        <v/>
      </c>
      <c r="AG45" s="210" t="str">
        <f t="shared" si="14"/>
        <v/>
      </c>
      <c r="AH45" s="215" t="str">
        <f t="shared" si="15"/>
        <v/>
      </c>
      <c r="AI45" s="216" t="str">
        <f t="shared" si="15"/>
        <v/>
      </c>
      <c r="AJ45" s="210" t="str">
        <f t="shared" si="16"/>
        <v/>
      </c>
      <c r="AK45" s="215" t="str">
        <f t="shared" si="17"/>
        <v/>
      </c>
      <c r="AL45" s="216" t="str">
        <f t="shared" si="17"/>
        <v/>
      </c>
      <c r="AM45" s="210" t="str">
        <f t="shared" si="18"/>
        <v/>
      </c>
      <c r="AN45" s="215" t="str">
        <f t="shared" si="19"/>
        <v/>
      </c>
      <c r="AO45" s="216" t="str">
        <f t="shared" si="19"/>
        <v/>
      </c>
      <c r="AP45" s="210" t="str">
        <f t="shared" si="20"/>
        <v/>
      </c>
      <c r="AQ45" s="232" t="str">
        <f t="shared" si="23"/>
        <v/>
      </c>
      <c r="AR45" s="232" t="str">
        <f t="shared" si="23"/>
        <v/>
      </c>
    </row>
    <row r="46" spans="1:44" s="229" customFormat="1" ht="31" customHeight="1" x14ac:dyDescent="0.35">
      <c r="A46" s="230" t="str">
        <f t="shared" si="0"/>
        <v/>
      </c>
      <c r="B46" s="214" t="str">
        <f t="shared" si="0"/>
        <v/>
      </c>
      <c r="C46" s="212" t="str">
        <f t="shared" si="21"/>
        <v/>
      </c>
      <c r="D46" s="212" t="str">
        <f t="shared" si="21"/>
        <v/>
      </c>
      <c r="E46" s="212" t="str">
        <f t="shared" si="1"/>
        <v/>
      </c>
      <c r="F46" s="212" t="str">
        <f t="shared" si="1"/>
        <v/>
      </c>
      <c r="G46" s="212" t="str">
        <f t="shared" si="1"/>
        <v/>
      </c>
      <c r="H46" s="212" t="str">
        <f t="shared" si="21"/>
        <v/>
      </c>
      <c r="I46" s="211" t="str">
        <f t="shared" si="21"/>
        <v/>
      </c>
      <c r="J46" s="218" t="str">
        <f t="shared" si="21"/>
        <v/>
      </c>
      <c r="K46" s="214" t="str">
        <f t="shared" si="2"/>
        <v/>
      </c>
      <c r="L46" s="211" t="str">
        <f t="shared" si="21"/>
        <v/>
      </c>
      <c r="M46" s="214" t="str">
        <f t="shared" si="3"/>
        <v/>
      </c>
      <c r="N46" s="214" t="str">
        <f t="shared" si="3"/>
        <v/>
      </c>
      <c r="O46" s="214" t="str">
        <f t="shared" si="3"/>
        <v/>
      </c>
      <c r="P46" s="215" t="str">
        <f t="shared" si="3"/>
        <v/>
      </c>
      <c r="Q46" s="216" t="str">
        <f t="shared" si="3"/>
        <v/>
      </c>
      <c r="R46" s="210" t="str">
        <f t="shared" si="4"/>
        <v/>
      </c>
      <c r="S46" s="215" t="str">
        <f t="shared" si="5"/>
        <v/>
      </c>
      <c r="T46" s="216" t="str">
        <f t="shared" si="5"/>
        <v/>
      </c>
      <c r="U46" s="210" t="str">
        <f t="shared" si="6"/>
        <v/>
      </c>
      <c r="V46" s="215" t="str">
        <f t="shared" si="7"/>
        <v/>
      </c>
      <c r="W46" s="216" t="str">
        <f t="shared" si="7"/>
        <v/>
      </c>
      <c r="X46" s="210" t="str">
        <f t="shared" si="8"/>
        <v/>
      </c>
      <c r="Y46" s="215" t="str">
        <f t="shared" si="9"/>
        <v/>
      </c>
      <c r="Z46" s="216" t="str">
        <f t="shared" si="9"/>
        <v/>
      </c>
      <c r="AA46" s="210" t="str">
        <f t="shared" si="10"/>
        <v/>
      </c>
      <c r="AB46" s="215" t="str">
        <f t="shared" si="11"/>
        <v/>
      </c>
      <c r="AC46" s="216" t="str">
        <f t="shared" si="11"/>
        <v/>
      </c>
      <c r="AD46" s="210" t="str">
        <f t="shared" si="12"/>
        <v/>
      </c>
      <c r="AE46" s="215" t="str">
        <f t="shared" ref="AE46:AF46" si="30">IF(ISBLANK(AE13),"",VALUE(AE13))</f>
        <v/>
      </c>
      <c r="AF46" s="216" t="str">
        <f t="shared" si="30"/>
        <v/>
      </c>
      <c r="AG46" s="210" t="str">
        <f t="shared" si="14"/>
        <v/>
      </c>
      <c r="AH46" s="215" t="str">
        <f t="shared" si="15"/>
        <v/>
      </c>
      <c r="AI46" s="216" t="str">
        <f t="shared" si="15"/>
        <v/>
      </c>
      <c r="AJ46" s="210" t="str">
        <f t="shared" si="16"/>
        <v/>
      </c>
      <c r="AK46" s="215" t="str">
        <f t="shared" si="17"/>
        <v/>
      </c>
      <c r="AL46" s="216" t="str">
        <f t="shared" si="17"/>
        <v/>
      </c>
      <c r="AM46" s="210" t="str">
        <f t="shared" si="18"/>
        <v/>
      </c>
      <c r="AN46" s="215" t="str">
        <f t="shared" si="19"/>
        <v/>
      </c>
      <c r="AO46" s="216" t="str">
        <f t="shared" si="19"/>
        <v/>
      </c>
      <c r="AP46" s="210" t="str">
        <f t="shared" si="20"/>
        <v/>
      </c>
      <c r="AQ46" s="232" t="str">
        <f t="shared" si="23"/>
        <v/>
      </c>
      <c r="AR46" s="232" t="str">
        <f t="shared" si="23"/>
        <v/>
      </c>
    </row>
    <row r="47" spans="1:44" s="229" customFormat="1" ht="31" customHeight="1" x14ac:dyDescent="0.35">
      <c r="A47" s="230" t="str">
        <f t="shared" si="0"/>
        <v/>
      </c>
      <c r="B47" s="214" t="str">
        <f t="shared" si="0"/>
        <v/>
      </c>
      <c r="C47" s="212" t="str">
        <f t="shared" si="21"/>
        <v/>
      </c>
      <c r="D47" s="212" t="str">
        <f t="shared" si="21"/>
        <v/>
      </c>
      <c r="E47" s="212" t="str">
        <f t="shared" si="1"/>
        <v/>
      </c>
      <c r="F47" s="212" t="str">
        <f t="shared" si="1"/>
        <v/>
      </c>
      <c r="G47" s="212" t="str">
        <f t="shared" si="1"/>
        <v/>
      </c>
      <c r="H47" s="212" t="str">
        <f t="shared" si="21"/>
        <v/>
      </c>
      <c r="I47" s="211" t="str">
        <f t="shared" si="21"/>
        <v/>
      </c>
      <c r="J47" s="218" t="str">
        <f t="shared" si="21"/>
        <v/>
      </c>
      <c r="K47" s="214" t="str">
        <f t="shared" si="2"/>
        <v/>
      </c>
      <c r="L47" s="211" t="str">
        <f t="shared" si="21"/>
        <v/>
      </c>
      <c r="M47" s="214" t="str">
        <f t="shared" si="3"/>
        <v/>
      </c>
      <c r="N47" s="214" t="str">
        <f t="shared" si="3"/>
        <v/>
      </c>
      <c r="O47" s="214" t="str">
        <f t="shared" si="3"/>
        <v/>
      </c>
      <c r="P47" s="215" t="str">
        <f t="shared" si="3"/>
        <v/>
      </c>
      <c r="Q47" s="216" t="str">
        <f t="shared" si="3"/>
        <v/>
      </c>
      <c r="R47" s="210" t="str">
        <f t="shared" si="4"/>
        <v/>
      </c>
      <c r="S47" s="215" t="str">
        <f t="shared" si="5"/>
        <v/>
      </c>
      <c r="T47" s="216" t="str">
        <f t="shared" si="5"/>
        <v/>
      </c>
      <c r="U47" s="210" t="str">
        <f t="shared" si="6"/>
        <v/>
      </c>
      <c r="V47" s="215" t="str">
        <f t="shared" si="7"/>
        <v/>
      </c>
      <c r="W47" s="216" t="str">
        <f t="shared" si="7"/>
        <v/>
      </c>
      <c r="X47" s="210" t="str">
        <f t="shared" si="8"/>
        <v/>
      </c>
      <c r="Y47" s="215" t="str">
        <f t="shared" si="9"/>
        <v/>
      </c>
      <c r="Z47" s="216" t="str">
        <f t="shared" si="9"/>
        <v/>
      </c>
      <c r="AA47" s="210" t="str">
        <f t="shared" si="10"/>
        <v/>
      </c>
      <c r="AB47" s="215" t="str">
        <f t="shared" si="11"/>
        <v/>
      </c>
      <c r="AC47" s="216" t="str">
        <f t="shared" si="11"/>
        <v/>
      </c>
      <c r="AD47" s="210" t="str">
        <f t="shared" si="12"/>
        <v/>
      </c>
      <c r="AE47" s="215" t="str">
        <f t="shared" ref="AE47:AF47" si="31">IF(ISBLANK(AE14),"",VALUE(AE14))</f>
        <v/>
      </c>
      <c r="AF47" s="216" t="str">
        <f t="shared" si="31"/>
        <v/>
      </c>
      <c r="AG47" s="210" t="str">
        <f t="shared" si="14"/>
        <v/>
      </c>
      <c r="AH47" s="215" t="str">
        <f t="shared" si="15"/>
        <v/>
      </c>
      <c r="AI47" s="216" t="str">
        <f t="shared" si="15"/>
        <v/>
      </c>
      <c r="AJ47" s="210" t="str">
        <f t="shared" si="16"/>
        <v/>
      </c>
      <c r="AK47" s="215" t="str">
        <f t="shared" si="17"/>
        <v/>
      </c>
      <c r="AL47" s="216" t="str">
        <f t="shared" si="17"/>
        <v/>
      </c>
      <c r="AM47" s="210" t="str">
        <f t="shared" si="18"/>
        <v/>
      </c>
      <c r="AN47" s="215" t="str">
        <f t="shared" si="19"/>
        <v/>
      </c>
      <c r="AO47" s="216" t="str">
        <f t="shared" si="19"/>
        <v/>
      </c>
      <c r="AP47" s="210" t="str">
        <f t="shared" si="20"/>
        <v/>
      </c>
      <c r="AQ47" s="232" t="str">
        <f t="shared" si="23"/>
        <v/>
      </c>
      <c r="AR47" s="232" t="str">
        <f t="shared" si="23"/>
        <v/>
      </c>
    </row>
    <row r="48" spans="1:44" s="229" customFormat="1" ht="31" customHeight="1" x14ac:dyDescent="0.35">
      <c r="A48" s="230" t="str">
        <f t="shared" si="0"/>
        <v/>
      </c>
      <c r="B48" s="214" t="str">
        <f t="shared" si="0"/>
        <v/>
      </c>
      <c r="C48" s="212" t="str">
        <f t="shared" si="21"/>
        <v/>
      </c>
      <c r="D48" s="212" t="str">
        <f t="shared" si="21"/>
        <v/>
      </c>
      <c r="E48" s="212" t="str">
        <f t="shared" si="1"/>
        <v/>
      </c>
      <c r="F48" s="212" t="str">
        <f t="shared" si="1"/>
        <v/>
      </c>
      <c r="G48" s="212" t="str">
        <f t="shared" si="1"/>
        <v/>
      </c>
      <c r="H48" s="212" t="str">
        <f t="shared" si="21"/>
        <v/>
      </c>
      <c r="I48" s="211" t="str">
        <f t="shared" si="21"/>
        <v/>
      </c>
      <c r="J48" s="218" t="str">
        <f t="shared" si="21"/>
        <v/>
      </c>
      <c r="K48" s="214" t="str">
        <f t="shared" si="2"/>
        <v/>
      </c>
      <c r="L48" s="211" t="str">
        <f t="shared" si="21"/>
        <v/>
      </c>
      <c r="M48" s="214" t="str">
        <f t="shared" si="3"/>
        <v/>
      </c>
      <c r="N48" s="214" t="str">
        <f t="shared" si="3"/>
        <v/>
      </c>
      <c r="O48" s="214" t="str">
        <f t="shared" si="3"/>
        <v/>
      </c>
      <c r="P48" s="215" t="str">
        <f t="shared" si="3"/>
        <v/>
      </c>
      <c r="Q48" s="216" t="str">
        <f t="shared" si="3"/>
        <v/>
      </c>
      <c r="R48" s="210" t="str">
        <f t="shared" si="4"/>
        <v/>
      </c>
      <c r="S48" s="215" t="str">
        <f t="shared" si="5"/>
        <v/>
      </c>
      <c r="T48" s="216" t="str">
        <f t="shared" si="5"/>
        <v/>
      </c>
      <c r="U48" s="210" t="str">
        <f t="shared" si="6"/>
        <v/>
      </c>
      <c r="V48" s="215" t="str">
        <f t="shared" si="7"/>
        <v/>
      </c>
      <c r="W48" s="216" t="str">
        <f t="shared" si="7"/>
        <v/>
      </c>
      <c r="X48" s="210" t="str">
        <f t="shared" si="8"/>
        <v/>
      </c>
      <c r="Y48" s="215" t="str">
        <f t="shared" si="9"/>
        <v/>
      </c>
      <c r="Z48" s="216" t="str">
        <f t="shared" si="9"/>
        <v/>
      </c>
      <c r="AA48" s="210" t="str">
        <f t="shared" si="10"/>
        <v/>
      </c>
      <c r="AB48" s="215" t="str">
        <f t="shared" si="11"/>
        <v/>
      </c>
      <c r="AC48" s="216" t="str">
        <f t="shared" si="11"/>
        <v/>
      </c>
      <c r="AD48" s="210" t="str">
        <f t="shared" si="12"/>
        <v/>
      </c>
      <c r="AE48" s="215" t="str">
        <f t="shared" ref="AE48:AF48" si="32">IF(ISBLANK(AE15),"",VALUE(AE15))</f>
        <v/>
      </c>
      <c r="AF48" s="216" t="str">
        <f t="shared" si="32"/>
        <v/>
      </c>
      <c r="AG48" s="210" t="str">
        <f t="shared" si="14"/>
        <v/>
      </c>
      <c r="AH48" s="215" t="str">
        <f t="shared" si="15"/>
        <v/>
      </c>
      <c r="AI48" s="216" t="str">
        <f t="shared" si="15"/>
        <v/>
      </c>
      <c r="AJ48" s="210" t="str">
        <f t="shared" si="16"/>
        <v/>
      </c>
      <c r="AK48" s="215" t="str">
        <f t="shared" si="17"/>
        <v/>
      </c>
      <c r="AL48" s="216" t="str">
        <f t="shared" si="17"/>
        <v/>
      </c>
      <c r="AM48" s="210" t="str">
        <f t="shared" si="18"/>
        <v/>
      </c>
      <c r="AN48" s="215" t="str">
        <f t="shared" si="19"/>
        <v/>
      </c>
      <c r="AO48" s="216" t="str">
        <f t="shared" si="19"/>
        <v/>
      </c>
      <c r="AP48" s="210" t="str">
        <f t="shared" si="20"/>
        <v/>
      </c>
      <c r="AQ48" s="232" t="str">
        <f t="shared" si="23"/>
        <v/>
      </c>
      <c r="AR48" s="232" t="str">
        <f t="shared" si="23"/>
        <v/>
      </c>
    </row>
    <row r="49" spans="1:44" s="229" customFormat="1" ht="31" customHeight="1" x14ac:dyDescent="0.35">
      <c r="A49" s="230" t="str">
        <f t="shared" si="0"/>
        <v/>
      </c>
      <c r="B49" s="214" t="str">
        <f t="shared" si="0"/>
        <v/>
      </c>
      <c r="C49" s="212" t="str">
        <f t="shared" si="21"/>
        <v/>
      </c>
      <c r="D49" s="212" t="str">
        <f t="shared" si="21"/>
        <v/>
      </c>
      <c r="E49" s="212" t="str">
        <f t="shared" si="1"/>
        <v/>
      </c>
      <c r="F49" s="212" t="str">
        <f t="shared" si="1"/>
        <v/>
      </c>
      <c r="G49" s="212" t="str">
        <f t="shared" si="1"/>
        <v/>
      </c>
      <c r="H49" s="212" t="str">
        <f t="shared" si="21"/>
        <v/>
      </c>
      <c r="I49" s="211" t="str">
        <f t="shared" si="21"/>
        <v/>
      </c>
      <c r="J49" s="218" t="str">
        <f t="shared" si="21"/>
        <v/>
      </c>
      <c r="K49" s="214" t="str">
        <f t="shared" si="2"/>
        <v/>
      </c>
      <c r="L49" s="211" t="str">
        <f t="shared" si="21"/>
        <v/>
      </c>
      <c r="M49" s="214" t="str">
        <f t="shared" si="3"/>
        <v/>
      </c>
      <c r="N49" s="214" t="str">
        <f t="shared" si="3"/>
        <v/>
      </c>
      <c r="O49" s="214" t="str">
        <f t="shared" si="3"/>
        <v/>
      </c>
      <c r="P49" s="215" t="str">
        <f t="shared" si="3"/>
        <v/>
      </c>
      <c r="Q49" s="216" t="str">
        <f t="shared" si="3"/>
        <v/>
      </c>
      <c r="R49" s="210" t="str">
        <f t="shared" si="4"/>
        <v/>
      </c>
      <c r="S49" s="215" t="str">
        <f t="shared" si="5"/>
        <v/>
      </c>
      <c r="T49" s="216" t="str">
        <f t="shared" si="5"/>
        <v/>
      </c>
      <c r="U49" s="210" t="str">
        <f t="shared" si="6"/>
        <v/>
      </c>
      <c r="V49" s="215" t="str">
        <f t="shared" si="7"/>
        <v/>
      </c>
      <c r="W49" s="216" t="str">
        <f t="shared" si="7"/>
        <v/>
      </c>
      <c r="X49" s="210" t="str">
        <f t="shared" si="8"/>
        <v/>
      </c>
      <c r="Y49" s="215" t="str">
        <f t="shared" si="9"/>
        <v/>
      </c>
      <c r="Z49" s="216" t="str">
        <f t="shared" si="9"/>
        <v/>
      </c>
      <c r="AA49" s="210" t="str">
        <f t="shared" si="10"/>
        <v/>
      </c>
      <c r="AB49" s="215" t="str">
        <f t="shared" si="11"/>
        <v/>
      </c>
      <c r="AC49" s="216" t="str">
        <f t="shared" si="11"/>
        <v/>
      </c>
      <c r="AD49" s="210" t="str">
        <f t="shared" si="12"/>
        <v/>
      </c>
      <c r="AE49" s="215" t="str">
        <f t="shared" ref="AE49:AF49" si="33">IF(ISBLANK(AE16),"",VALUE(AE16))</f>
        <v/>
      </c>
      <c r="AF49" s="216" t="str">
        <f t="shared" si="33"/>
        <v/>
      </c>
      <c r="AG49" s="210" t="str">
        <f t="shared" si="14"/>
        <v/>
      </c>
      <c r="AH49" s="215" t="str">
        <f t="shared" si="15"/>
        <v/>
      </c>
      <c r="AI49" s="216" t="str">
        <f t="shared" si="15"/>
        <v/>
      </c>
      <c r="AJ49" s="210" t="str">
        <f t="shared" si="16"/>
        <v/>
      </c>
      <c r="AK49" s="215" t="str">
        <f t="shared" si="17"/>
        <v/>
      </c>
      <c r="AL49" s="216" t="str">
        <f t="shared" si="17"/>
        <v/>
      </c>
      <c r="AM49" s="210" t="str">
        <f t="shared" si="18"/>
        <v/>
      </c>
      <c r="AN49" s="215" t="str">
        <f t="shared" si="19"/>
        <v/>
      </c>
      <c r="AO49" s="216" t="str">
        <f t="shared" si="19"/>
        <v/>
      </c>
      <c r="AP49" s="210" t="str">
        <f t="shared" si="20"/>
        <v/>
      </c>
      <c r="AQ49" s="232" t="str">
        <f t="shared" si="23"/>
        <v/>
      </c>
      <c r="AR49" s="232" t="str">
        <f t="shared" si="23"/>
        <v/>
      </c>
    </row>
    <row r="50" spans="1:44" s="229" customFormat="1" ht="31" customHeight="1" x14ac:dyDescent="0.35">
      <c r="A50" s="230" t="str">
        <f t="shared" si="0"/>
        <v/>
      </c>
      <c r="B50" s="214" t="str">
        <f t="shared" si="0"/>
        <v/>
      </c>
      <c r="C50" s="212" t="str">
        <f t="shared" si="21"/>
        <v/>
      </c>
      <c r="D50" s="212" t="str">
        <f t="shared" si="21"/>
        <v/>
      </c>
      <c r="E50" s="212" t="str">
        <f t="shared" si="1"/>
        <v/>
      </c>
      <c r="F50" s="212" t="str">
        <f t="shared" si="1"/>
        <v/>
      </c>
      <c r="G50" s="212" t="str">
        <f t="shared" si="1"/>
        <v/>
      </c>
      <c r="H50" s="212" t="str">
        <f t="shared" si="21"/>
        <v/>
      </c>
      <c r="I50" s="211" t="str">
        <f t="shared" si="21"/>
        <v/>
      </c>
      <c r="J50" s="218" t="str">
        <f t="shared" si="21"/>
        <v/>
      </c>
      <c r="K50" s="214" t="str">
        <f t="shared" si="2"/>
        <v/>
      </c>
      <c r="L50" s="211" t="str">
        <f t="shared" si="21"/>
        <v/>
      </c>
      <c r="M50" s="214" t="str">
        <f t="shared" si="3"/>
        <v/>
      </c>
      <c r="N50" s="214" t="str">
        <f t="shared" si="3"/>
        <v/>
      </c>
      <c r="O50" s="214" t="str">
        <f t="shared" si="3"/>
        <v/>
      </c>
      <c r="P50" s="215" t="str">
        <f t="shared" si="3"/>
        <v/>
      </c>
      <c r="Q50" s="216" t="str">
        <f t="shared" si="3"/>
        <v/>
      </c>
      <c r="R50" s="210" t="str">
        <f t="shared" si="4"/>
        <v/>
      </c>
      <c r="S50" s="215" t="str">
        <f t="shared" si="5"/>
        <v/>
      </c>
      <c r="T50" s="216" t="str">
        <f t="shared" si="5"/>
        <v/>
      </c>
      <c r="U50" s="210" t="str">
        <f t="shared" si="6"/>
        <v/>
      </c>
      <c r="V50" s="215" t="str">
        <f t="shared" si="7"/>
        <v/>
      </c>
      <c r="W50" s="216" t="str">
        <f t="shared" si="7"/>
        <v/>
      </c>
      <c r="X50" s="210" t="str">
        <f t="shared" si="8"/>
        <v/>
      </c>
      <c r="Y50" s="215" t="str">
        <f t="shared" si="9"/>
        <v/>
      </c>
      <c r="Z50" s="216" t="str">
        <f t="shared" si="9"/>
        <v/>
      </c>
      <c r="AA50" s="210" t="str">
        <f t="shared" si="10"/>
        <v/>
      </c>
      <c r="AB50" s="215" t="str">
        <f t="shared" si="11"/>
        <v/>
      </c>
      <c r="AC50" s="216" t="str">
        <f t="shared" si="11"/>
        <v/>
      </c>
      <c r="AD50" s="210" t="str">
        <f t="shared" si="12"/>
        <v/>
      </c>
      <c r="AE50" s="215" t="str">
        <f t="shared" ref="AE50:AF50" si="34">IF(ISBLANK(AE17),"",VALUE(AE17))</f>
        <v/>
      </c>
      <c r="AF50" s="216" t="str">
        <f t="shared" si="34"/>
        <v/>
      </c>
      <c r="AG50" s="210" t="str">
        <f t="shared" si="14"/>
        <v/>
      </c>
      <c r="AH50" s="215" t="str">
        <f t="shared" si="15"/>
        <v/>
      </c>
      <c r="AI50" s="216" t="str">
        <f t="shared" si="15"/>
        <v/>
      </c>
      <c r="AJ50" s="210" t="str">
        <f t="shared" si="16"/>
        <v/>
      </c>
      <c r="AK50" s="215" t="str">
        <f t="shared" si="17"/>
        <v/>
      </c>
      <c r="AL50" s="216" t="str">
        <f t="shared" si="17"/>
        <v/>
      </c>
      <c r="AM50" s="210" t="str">
        <f t="shared" si="18"/>
        <v/>
      </c>
      <c r="AN50" s="215" t="str">
        <f t="shared" si="19"/>
        <v/>
      </c>
      <c r="AO50" s="216" t="str">
        <f t="shared" si="19"/>
        <v/>
      </c>
      <c r="AP50" s="210" t="str">
        <f t="shared" si="20"/>
        <v/>
      </c>
      <c r="AQ50" s="232" t="str">
        <f t="shared" si="23"/>
        <v/>
      </c>
      <c r="AR50" s="232" t="str">
        <f t="shared" si="23"/>
        <v/>
      </c>
    </row>
    <row r="51" spans="1:44" s="229" customFormat="1" ht="31" customHeight="1" x14ac:dyDescent="0.35">
      <c r="A51" s="230" t="str">
        <f t="shared" si="0"/>
        <v/>
      </c>
      <c r="B51" s="214" t="str">
        <f t="shared" si="0"/>
        <v/>
      </c>
      <c r="C51" s="212" t="str">
        <f t="shared" si="21"/>
        <v/>
      </c>
      <c r="D51" s="212" t="str">
        <f t="shared" si="21"/>
        <v/>
      </c>
      <c r="E51" s="212" t="str">
        <f t="shared" si="1"/>
        <v/>
      </c>
      <c r="F51" s="212" t="str">
        <f t="shared" si="1"/>
        <v/>
      </c>
      <c r="G51" s="212" t="str">
        <f t="shared" si="1"/>
        <v/>
      </c>
      <c r="H51" s="212" t="str">
        <f t="shared" si="21"/>
        <v/>
      </c>
      <c r="I51" s="211" t="str">
        <f t="shared" si="21"/>
        <v/>
      </c>
      <c r="J51" s="218" t="str">
        <f t="shared" si="21"/>
        <v/>
      </c>
      <c r="K51" s="214" t="str">
        <f t="shared" si="2"/>
        <v/>
      </c>
      <c r="L51" s="211" t="str">
        <f t="shared" si="21"/>
        <v/>
      </c>
      <c r="M51" s="214" t="str">
        <f t="shared" si="3"/>
        <v/>
      </c>
      <c r="N51" s="214" t="str">
        <f t="shared" si="3"/>
        <v/>
      </c>
      <c r="O51" s="214" t="str">
        <f t="shared" si="3"/>
        <v/>
      </c>
      <c r="P51" s="215" t="str">
        <f t="shared" si="3"/>
        <v/>
      </c>
      <c r="Q51" s="216" t="str">
        <f t="shared" si="3"/>
        <v/>
      </c>
      <c r="R51" s="210" t="str">
        <f t="shared" si="4"/>
        <v/>
      </c>
      <c r="S51" s="215" t="str">
        <f t="shared" si="5"/>
        <v/>
      </c>
      <c r="T51" s="216" t="str">
        <f t="shared" si="5"/>
        <v/>
      </c>
      <c r="U51" s="210" t="str">
        <f t="shared" si="6"/>
        <v/>
      </c>
      <c r="V51" s="215" t="str">
        <f t="shared" si="7"/>
        <v/>
      </c>
      <c r="W51" s="216" t="str">
        <f t="shared" si="7"/>
        <v/>
      </c>
      <c r="X51" s="210" t="str">
        <f t="shared" si="8"/>
        <v/>
      </c>
      <c r="Y51" s="215" t="str">
        <f t="shared" si="9"/>
        <v/>
      </c>
      <c r="Z51" s="216" t="str">
        <f t="shared" si="9"/>
        <v/>
      </c>
      <c r="AA51" s="210" t="str">
        <f t="shared" si="10"/>
        <v/>
      </c>
      <c r="AB51" s="215" t="str">
        <f t="shared" si="11"/>
        <v/>
      </c>
      <c r="AC51" s="216" t="str">
        <f t="shared" si="11"/>
        <v/>
      </c>
      <c r="AD51" s="210" t="str">
        <f t="shared" si="12"/>
        <v/>
      </c>
      <c r="AE51" s="215" t="str">
        <f t="shared" ref="AE51:AF51" si="35">IF(ISBLANK(AE18),"",VALUE(AE18))</f>
        <v/>
      </c>
      <c r="AF51" s="216" t="str">
        <f t="shared" si="35"/>
        <v/>
      </c>
      <c r="AG51" s="210" t="str">
        <f t="shared" si="14"/>
        <v/>
      </c>
      <c r="AH51" s="215" t="str">
        <f t="shared" si="15"/>
        <v/>
      </c>
      <c r="AI51" s="216" t="str">
        <f t="shared" si="15"/>
        <v/>
      </c>
      <c r="AJ51" s="210" t="str">
        <f t="shared" si="16"/>
        <v/>
      </c>
      <c r="AK51" s="215" t="str">
        <f t="shared" si="17"/>
        <v/>
      </c>
      <c r="AL51" s="216" t="str">
        <f t="shared" si="17"/>
        <v/>
      </c>
      <c r="AM51" s="210" t="str">
        <f t="shared" si="18"/>
        <v/>
      </c>
      <c r="AN51" s="215" t="str">
        <f t="shared" si="19"/>
        <v/>
      </c>
      <c r="AO51" s="216" t="str">
        <f t="shared" si="19"/>
        <v/>
      </c>
      <c r="AP51" s="210" t="str">
        <f t="shared" si="20"/>
        <v/>
      </c>
      <c r="AQ51" s="232" t="str">
        <f t="shared" si="23"/>
        <v/>
      </c>
      <c r="AR51" s="232" t="str">
        <f t="shared" si="23"/>
        <v/>
      </c>
    </row>
    <row r="52" spans="1:44" s="229" customFormat="1" ht="31" customHeight="1" x14ac:dyDescent="0.35">
      <c r="A52" s="230" t="str">
        <f t="shared" si="0"/>
        <v/>
      </c>
      <c r="B52" s="214" t="str">
        <f t="shared" si="0"/>
        <v/>
      </c>
      <c r="C52" s="212" t="str">
        <f t="shared" si="21"/>
        <v/>
      </c>
      <c r="D52" s="212" t="str">
        <f t="shared" si="21"/>
        <v/>
      </c>
      <c r="E52" s="212" t="str">
        <f t="shared" si="1"/>
        <v/>
      </c>
      <c r="F52" s="212" t="str">
        <f t="shared" si="1"/>
        <v/>
      </c>
      <c r="G52" s="212" t="str">
        <f t="shared" si="1"/>
        <v/>
      </c>
      <c r="H52" s="212" t="str">
        <f t="shared" si="21"/>
        <v/>
      </c>
      <c r="I52" s="211" t="str">
        <f t="shared" si="21"/>
        <v/>
      </c>
      <c r="J52" s="218" t="str">
        <f t="shared" si="21"/>
        <v/>
      </c>
      <c r="K52" s="214" t="str">
        <f t="shared" si="2"/>
        <v/>
      </c>
      <c r="L52" s="211" t="str">
        <f t="shared" si="21"/>
        <v/>
      </c>
      <c r="M52" s="214" t="str">
        <f t="shared" si="3"/>
        <v/>
      </c>
      <c r="N52" s="214" t="str">
        <f t="shared" si="3"/>
        <v/>
      </c>
      <c r="O52" s="214" t="str">
        <f t="shared" si="3"/>
        <v/>
      </c>
      <c r="P52" s="215" t="str">
        <f t="shared" si="3"/>
        <v/>
      </c>
      <c r="Q52" s="216" t="str">
        <f t="shared" si="3"/>
        <v/>
      </c>
      <c r="R52" s="210" t="str">
        <f t="shared" si="4"/>
        <v/>
      </c>
      <c r="S52" s="215" t="str">
        <f t="shared" si="5"/>
        <v/>
      </c>
      <c r="T52" s="216" t="str">
        <f t="shared" si="5"/>
        <v/>
      </c>
      <c r="U52" s="210" t="str">
        <f t="shared" si="6"/>
        <v/>
      </c>
      <c r="V52" s="215" t="str">
        <f t="shared" si="7"/>
        <v/>
      </c>
      <c r="W52" s="216" t="str">
        <f t="shared" si="7"/>
        <v/>
      </c>
      <c r="X52" s="210" t="str">
        <f t="shared" si="8"/>
        <v/>
      </c>
      <c r="Y52" s="215" t="str">
        <f t="shared" si="9"/>
        <v/>
      </c>
      <c r="Z52" s="216" t="str">
        <f t="shared" si="9"/>
        <v/>
      </c>
      <c r="AA52" s="210" t="str">
        <f t="shared" si="10"/>
        <v/>
      </c>
      <c r="AB52" s="215" t="str">
        <f t="shared" si="11"/>
        <v/>
      </c>
      <c r="AC52" s="216" t="str">
        <f t="shared" si="11"/>
        <v/>
      </c>
      <c r="AD52" s="210" t="str">
        <f t="shared" si="12"/>
        <v/>
      </c>
      <c r="AE52" s="215" t="str">
        <f t="shared" ref="AE52:AF52" si="36">IF(ISBLANK(AE19),"",VALUE(AE19))</f>
        <v/>
      </c>
      <c r="AF52" s="216" t="str">
        <f t="shared" si="36"/>
        <v/>
      </c>
      <c r="AG52" s="210" t="str">
        <f t="shared" si="14"/>
        <v/>
      </c>
      <c r="AH52" s="215" t="str">
        <f t="shared" si="15"/>
        <v/>
      </c>
      <c r="AI52" s="216" t="str">
        <f t="shared" si="15"/>
        <v/>
      </c>
      <c r="AJ52" s="210" t="str">
        <f t="shared" si="16"/>
        <v/>
      </c>
      <c r="AK52" s="215" t="str">
        <f t="shared" si="17"/>
        <v/>
      </c>
      <c r="AL52" s="216" t="str">
        <f t="shared" si="17"/>
        <v/>
      </c>
      <c r="AM52" s="210" t="str">
        <f t="shared" si="18"/>
        <v/>
      </c>
      <c r="AN52" s="215" t="str">
        <f t="shared" si="19"/>
        <v/>
      </c>
      <c r="AO52" s="216" t="str">
        <f t="shared" si="19"/>
        <v/>
      </c>
      <c r="AP52" s="210" t="str">
        <f t="shared" si="20"/>
        <v/>
      </c>
      <c r="AQ52" s="232" t="str">
        <f t="shared" si="23"/>
        <v/>
      </c>
      <c r="AR52" s="232" t="str">
        <f t="shared" si="23"/>
        <v/>
      </c>
    </row>
    <row r="53" spans="1:44" s="229" customFormat="1" ht="31" customHeight="1" x14ac:dyDescent="0.35">
      <c r="A53" s="230" t="str">
        <f t="shared" si="0"/>
        <v/>
      </c>
      <c r="B53" s="214" t="str">
        <f t="shared" si="0"/>
        <v/>
      </c>
      <c r="C53" s="212" t="str">
        <f t="shared" si="21"/>
        <v/>
      </c>
      <c r="D53" s="212" t="str">
        <f t="shared" si="21"/>
        <v/>
      </c>
      <c r="E53" s="212" t="str">
        <f t="shared" si="1"/>
        <v/>
      </c>
      <c r="F53" s="212" t="str">
        <f t="shared" si="1"/>
        <v/>
      </c>
      <c r="G53" s="212" t="str">
        <f t="shared" si="1"/>
        <v/>
      </c>
      <c r="H53" s="212" t="str">
        <f t="shared" si="21"/>
        <v/>
      </c>
      <c r="I53" s="211" t="str">
        <f t="shared" si="21"/>
        <v/>
      </c>
      <c r="J53" s="218" t="str">
        <f t="shared" si="21"/>
        <v/>
      </c>
      <c r="K53" s="214" t="str">
        <f t="shared" si="2"/>
        <v/>
      </c>
      <c r="L53" s="211" t="str">
        <f t="shared" si="21"/>
        <v/>
      </c>
      <c r="M53" s="214" t="str">
        <f t="shared" si="3"/>
        <v/>
      </c>
      <c r="N53" s="214" t="str">
        <f t="shared" si="3"/>
        <v/>
      </c>
      <c r="O53" s="214" t="str">
        <f t="shared" si="3"/>
        <v/>
      </c>
      <c r="P53" s="215" t="str">
        <f t="shared" si="3"/>
        <v/>
      </c>
      <c r="Q53" s="216" t="str">
        <f t="shared" si="3"/>
        <v/>
      </c>
      <c r="R53" s="210" t="str">
        <f t="shared" si="4"/>
        <v/>
      </c>
      <c r="S53" s="215" t="str">
        <f t="shared" si="5"/>
        <v/>
      </c>
      <c r="T53" s="216" t="str">
        <f t="shared" si="5"/>
        <v/>
      </c>
      <c r="U53" s="210" t="str">
        <f t="shared" si="6"/>
        <v/>
      </c>
      <c r="V53" s="215" t="str">
        <f t="shared" si="7"/>
        <v/>
      </c>
      <c r="W53" s="216" t="str">
        <f t="shared" si="7"/>
        <v/>
      </c>
      <c r="X53" s="210" t="str">
        <f t="shared" si="8"/>
        <v/>
      </c>
      <c r="Y53" s="215" t="str">
        <f t="shared" si="9"/>
        <v/>
      </c>
      <c r="Z53" s="216" t="str">
        <f t="shared" si="9"/>
        <v/>
      </c>
      <c r="AA53" s="210" t="str">
        <f t="shared" si="10"/>
        <v/>
      </c>
      <c r="AB53" s="215" t="str">
        <f t="shared" si="11"/>
        <v/>
      </c>
      <c r="AC53" s="216" t="str">
        <f t="shared" si="11"/>
        <v/>
      </c>
      <c r="AD53" s="210" t="str">
        <f t="shared" si="12"/>
        <v/>
      </c>
      <c r="AE53" s="215" t="str">
        <f t="shared" ref="AE53:AF53" si="37">IF(ISBLANK(AE20),"",VALUE(AE20))</f>
        <v/>
      </c>
      <c r="AF53" s="216" t="str">
        <f t="shared" si="37"/>
        <v/>
      </c>
      <c r="AG53" s="210" t="str">
        <f t="shared" si="14"/>
        <v/>
      </c>
      <c r="AH53" s="215" t="str">
        <f t="shared" si="15"/>
        <v/>
      </c>
      <c r="AI53" s="216" t="str">
        <f t="shared" si="15"/>
        <v/>
      </c>
      <c r="AJ53" s="210" t="str">
        <f t="shared" si="16"/>
        <v/>
      </c>
      <c r="AK53" s="215" t="str">
        <f t="shared" si="17"/>
        <v/>
      </c>
      <c r="AL53" s="216" t="str">
        <f t="shared" si="17"/>
        <v/>
      </c>
      <c r="AM53" s="210" t="str">
        <f t="shared" si="18"/>
        <v/>
      </c>
      <c r="AN53" s="215" t="str">
        <f t="shared" si="19"/>
        <v/>
      </c>
      <c r="AO53" s="216" t="str">
        <f t="shared" si="19"/>
        <v/>
      </c>
      <c r="AP53" s="210" t="str">
        <f t="shared" si="20"/>
        <v/>
      </c>
      <c r="AQ53" s="232" t="str">
        <f t="shared" si="23"/>
        <v/>
      </c>
      <c r="AR53" s="232" t="str">
        <f t="shared" si="23"/>
        <v/>
      </c>
    </row>
    <row r="54" spans="1:44" s="229" customFormat="1" ht="31" customHeight="1" x14ac:dyDescent="0.35">
      <c r="A54" s="230" t="str">
        <f t="shared" ref="A54:B67" si="38">IF(ISBLANK(A21),"",VALUE(A21))</f>
        <v/>
      </c>
      <c r="B54" s="214" t="str">
        <f t="shared" si="38"/>
        <v/>
      </c>
      <c r="C54" s="212" t="str">
        <f t="shared" si="21"/>
        <v/>
      </c>
      <c r="D54" s="212" t="str">
        <f t="shared" si="21"/>
        <v/>
      </c>
      <c r="E54" s="212" t="str">
        <f t="shared" si="21"/>
        <v/>
      </c>
      <c r="F54" s="212" t="str">
        <f t="shared" si="21"/>
        <v/>
      </c>
      <c r="G54" s="212" t="str">
        <f t="shared" si="21"/>
        <v/>
      </c>
      <c r="H54" s="212" t="str">
        <f t="shared" si="21"/>
        <v/>
      </c>
      <c r="I54" s="211" t="str">
        <f t="shared" si="21"/>
        <v/>
      </c>
      <c r="J54" s="218" t="str">
        <f t="shared" si="21"/>
        <v/>
      </c>
      <c r="K54" s="214" t="str">
        <f t="shared" si="2"/>
        <v/>
      </c>
      <c r="L54" s="211" t="str">
        <f t="shared" si="21"/>
        <v/>
      </c>
      <c r="M54" s="214" t="str">
        <f t="shared" ref="M54:Q67" si="39">IF(ISBLANK(M21),"",VALUE(M21))</f>
        <v/>
      </c>
      <c r="N54" s="214" t="str">
        <f t="shared" si="39"/>
        <v/>
      </c>
      <c r="O54" s="214" t="str">
        <f t="shared" si="39"/>
        <v/>
      </c>
      <c r="P54" s="215" t="str">
        <f t="shared" si="39"/>
        <v/>
      </c>
      <c r="Q54" s="216" t="str">
        <f t="shared" si="39"/>
        <v/>
      </c>
      <c r="R54" s="210" t="str">
        <f t="shared" si="4"/>
        <v/>
      </c>
      <c r="S54" s="215" t="str">
        <f t="shared" ref="S54:T67" si="40">IF(ISBLANK(S21),"",VALUE(S21))</f>
        <v/>
      </c>
      <c r="T54" s="216" t="str">
        <f t="shared" si="40"/>
        <v/>
      </c>
      <c r="U54" s="210" t="str">
        <f t="shared" si="6"/>
        <v/>
      </c>
      <c r="V54" s="215" t="str">
        <f t="shared" ref="V54:W67" si="41">IF(ISBLANK(V21),"",VALUE(V21))</f>
        <v/>
      </c>
      <c r="W54" s="216" t="str">
        <f t="shared" si="41"/>
        <v/>
      </c>
      <c r="X54" s="210" t="str">
        <f t="shared" si="8"/>
        <v/>
      </c>
      <c r="Y54" s="215" t="str">
        <f t="shared" ref="Y54:Z67" si="42">IF(ISBLANK(Y21),"",VALUE(Y21))</f>
        <v/>
      </c>
      <c r="Z54" s="216" t="str">
        <f t="shared" si="42"/>
        <v/>
      </c>
      <c r="AA54" s="210" t="str">
        <f t="shared" si="10"/>
        <v/>
      </c>
      <c r="AB54" s="215" t="str">
        <f t="shared" ref="AB54:AC67" si="43">IF(ISBLANK(AB21),"",VALUE(AB21))</f>
        <v/>
      </c>
      <c r="AC54" s="216" t="str">
        <f t="shared" si="43"/>
        <v/>
      </c>
      <c r="AD54" s="210" t="str">
        <f t="shared" si="12"/>
        <v/>
      </c>
      <c r="AE54" s="215" t="str">
        <f t="shared" ref="AE54:AF54" si="44">IF(ISBLANK(AE21),"",VALUE(AE21))</f>
        <v/>
      </c>
      <c r="AF54" s="216" t="str">
        <f t="shared" si="44"/>
        <v/>
      </c>
      <c r="AG54" s="210" t="str">
        <f t="shared" si="14"/>
        <v/>
      </c>
      <c r="AH54" s="215" t="str">
        <f t="shared" ref="AH54:AI67" si="45">IF(ISBLANK(AH21),"",VALUE(AH21))</f>
        <v/>
      </c>
      <c r="AI54" s="216" t="str">
        <f t="shared" si="45"/>
        <v/>
      </c>
      <c r="AJ54" s="210" t="str">
        <f t="shared" si="16"/>
        <v/>
      </c>
      <c r="AK54" s="215" t="str">
        <f t="shared" ref="AK54:AL67" si="46">IF(AND(ISBLANK(AH21),ISBLANK(AK21)),"",IF(ISBLANK(AK21),0,VALUE(AK21)))</f>
        <v/>
      </c>
      <c r="AL54" s="216" t="str">
        <f t="shared" si="46"/>
        <v/>
      </c>
      <c r="AM54" s="210" t="str">
        <f t="shared" si="18"/>
        <v/>
      </c>
      <c r="AN54" s="215" t="str">
        <f t="shared" ref="AN54:AO67" si="47">IF(ISBLANK(AN21),"",VALUE(AN21))</f>
        <v/>
      </c>
      <c r="AO54" s="216" t="str">
        <f t="shared" si="47"/>
        <v/>
      </c>
      <c r="AP54" s="210" t="str">
        <f t="shared" si="20"/>
        <v/>
      </c>
      <c r="AQ54" s="232" t="str">
        <f t="shared" si="23"/>
        <v/>
      </c>
      <c r="AR54" s="232" t="str">
        <f t="shared" si="23"/>
        <v/>
      </c>
    </row>
    <row r="55" spans="1:44" s="229" customFormat="1" ht="31" customHeight="1" x14ac:dyDescent="0.35">
      <c r="A55" s="230" t="str">
        <f t="shared" si="38"/>
        <v/>
      </c>
      <c r="B55" s="214" t="str">
        <f t="shared" si="38"/>
        <v/>
      </c>
      <c r="C55" s="212" t="str">
        <f t="shared" ref="C55:L67" si="48">IF(ISBLANK(C22),"",C22)</f>
        <v/>
      </c>
      <c r="D55" s="212" t="str">
        <f t="shared" si="48"/>
        <v/>
      </c>
      <c r="E55" s="212" t="str">
        <f t="shared" si="48"/>
        <v/>
      </c>
      <c r="F55" s="212" t="str">
        <f t="shared" si="48"/>
        <v/>
      </c>
      <c r="G55" s="212" t="str">
        <f t="shared" si="48"/>
        <v/>
      </c>
      <c r="H55" s="212" t="str">
        <f t="shared" si="48"/>
        <v/>
      </c>
      <c r="I55" s="211" t="str">
        <f t="shared" si="48"/>
        <v/>
      </c>
      <c r="J55" s="218" t="str">
        <f t="shared" si="48"/>
        <v/>
      </c>
      <c r="K55" s="214" t="str">
        <f t="shared" si="2"/>
        <v/>
      </c>
      <c r="L55" s="211" t="str">
        <f t="shared" si="48"/>
        <v/>
      </c>
      <c r="M55" s="214" t="str">
        <f t="shared" si="39"/>
        <v/>
      </c>
      <c r="N55" s="214" t="str">
        <f t="shared" si="39"/>
        <v/>
      </c>
      <c r="O55" s="214" t="str">
        <f t="shared" si="39"/>
        <v/>
      </c>
      <c r="P55" s="215" t="str">
        <f t="shared" si="39"/>
        <v/>
      </c>
      <c r="Q55" s="216" t="str">
        <f t="shared" si="39"/>
        <v/>
      </c>
      <c r="R55" s="210" t="str">
        <f t="shared" si="4"/>
        <v/>
      </c>
      <c r="S55" s="215" t="str">
        <f t="shared" si="40"/>
        <v/>
      </c>
      <c r="T55" s="216" t="str">
        <f t="shared" si="40"/>
        <v/>
      </c>
      <c r="U55" s="210" t="str">
        <f t="shared" si="6"/>
        <v/>
      </c>
      <c r="V55" s="215" t="str">
        <f t="shared" si="41"/>
        <v/>
      </c>
      <c r="W55" s="216" t="str">
        <f t="shared" si="41"/>
        <v/>
      </c>
      <c r="X55" s="210" t="str">
        <f t="shared" si="8"/>
        <v/>
      </c>
      <c r="Y55" s="215" t="str">
        <f t="shared" si="42"/>
        <v/>
      </c>
      <c r="Z55" s="216" t="str">
        <f t="shared" si="42"/>
        <v/>
      </c>
      <c r="AA55" s="210" t="str">
        <f t="shared" si="10"/>
        <v/>
      </c>
      <c r="AB55" s="215" t="str">
        <f t="shared" si="43"/>
        <v/>
      </c>
      <c r="AC55" s="216" t="str">
        <f t="shared" si="43"/>
        <v/>
      </c>
      <c r="AD55" s="210" t="str">
        <f t="shared" si="12"/>
        <v/>
      </c>
      <c r="AE55" s="215" t="str">
        <f t="shared" ref="AE55:AF55" si="49">IF(ISBLANK(AE22),"",VALUE(AE22))</f>
        <v/>
      </c>
      <c r="AF55" s="216" t="str">
        <f t="shared" si="49"/>
        <v/>
      </c>
      <c r="AG55" s="210" t="str">
        <f t="shared" si="14"/>
        <v/>
      </c>
      <c r="AH55" s="215" t="str">
        <f t="shared" si="45"/>
        <v/>
      </c>
      <c r="AI55" s="216" t="str">
        <f t="shared" si="45"/>
        <v/>
      </c>
      <c r="AJ55" s="210" t="str">
        <f t="shared" si="16"/>
        <v/>
      </c>
      <c r="AK55" s="215" t="str">
        <f t="shared" si="46"/>
        <v/>
      </c>
      <c r="AL55" s="216" t="str">
        <f t="shared" si="46"/>
        <v/>
      </c>
      <c r="AM55" s="210" t="str">
        <f t="shared" si="18"/>
        <v/>
      </c>
      <c r="AN55" s="215" t="str">
        <f t="shared" si="47"/>
        <v/>
      </c>
      <c r="AO55" s="216" t="str">
        <f t="shared" si="47"/>
        <v/>
      </c>
      <c r="AP55" s="210" t="str">
        <f t="shared" si="20"/>
        <v/>
      </c>
      <c r="AQ55" s="232" t="str">
        <f t="shared" ref="AQ55:AR67" si="50">IF(ISBLANK(AQ22),"",AQ22)</f>
        <v/>
      </c>
      <c r="AR55" s="232" t="str">
        <f t="shared" si="50"/>
        <v/>
      </c>
    </row>
    <row r="56" spans="1:44" s="229" customFormat="1" ht="31" customHeight="1" x14ac:dyDescent="0.35">
      <c r="A56" s="230" t="str">
        <f t="shared" si="38"/>
        <v/>
      </c>
      <c r="B56" s="214" t="str">
        <f t="shared" si="38"/>
        <v/>
      </c>
      <c r="C56" s="212" t="str">
        <f t="shared" si="48"/>
        <v/>
      </c>
      <c r="D56" s="212" t="str">
        <f t="shared" si="48"/>
        <v/>
      </c>
      <c r="E56" s="212" t="str">
        <f t="shared" si="48"/>
        <v/>
      </c>
      <c r="F56" s="212" t="str">
        <f t="shared" si="48"/>
        <v/>
      </c>
      <c r="G56" s="212" t="str">
        <f t="shared" si="48"/>
        <v/>
      </c>
      <c r="H56" s="212" t="str">
        <f t="shared" si="48"/>
        <v/>
      </c>
      <c r="I56" s="211" t="str">
        <f t="shared" si="48"/>
        <v/>
      </c>
      <c r="J56" s="218" t="str">
        <f t="shared" si="48"/>
        <v/>
      </c>
      <c r="K56" s="214" t="str">
        <f t="shared" si="2"/>
        <v/>
      </c>
      <c r="L56" s="211" t="str">
        <f t="shared" si="48"/>
        <v/>
      </c>
      <c r="M56" s="214" t="str">
        <f t="shared" si="39"/>
        <v/>
      </c>
      <c r="N56" s="214" t="str">
        <f t="shared" si="39"/>
        <v/>
      </c>
      <c r="O56" s="214" t="str">
        <f t="shared" si="39"/>
        <v/>
      </c>
      <c r="P56" s="215" t="str">
        <f t="shared" si="39"/>
        <v/>
      </c>
      <c r="Q56" s="216" t="str">
        <f t="shared" si="39"/>
        <v/>
      </c>
      <c r="R56" s="210" t="str">
        <f t="shared" si="4"/>
        <v/>
      </c>
      <c r="S56" s="215" t="str">
        <f t="shared" si="40"/>
        <v/>
      </c>
      <c r="T56" s="216" t="str">
        <f t="shared" si="40"/>
        <v/>
      </c>
      <c r="U56" s="210" t="str">
        <f t="shared" si="6"/>
        <v/>
      </c>
      <c r="V56" s="215" t="str">
        <f t="shared" si="41"/>
        <v/>
      </c>
      <c r="W56" s="216" t="str">
        <f t="shared" si="41"/>
        <v/>
      </c>
      <c r="X56" s="210" t="str">
        <f t="shared" si="8"/>
        <v/>
      </c>
      <c r="Y56" s="215" t="str">
        <f t="shared" si="42"/>
        <v/>
      </c>
      <c r="Z56" s="216" t="str">
        <f t="shared" si="42"/>
        <v/>
      </c>
      <c r="AA56" s="210" t="str">
        <f t="shared" si="10"/>
        <v/>
      </c>
      <c r="AB56" s="215" t="str">
        <f t="shared" si="43"/>
        <v/>
      </c>
      <c r="AC56" s="216" t="str">
        <f t="shared" si="43"/>
        <v/>
      </c>
      <c r="AD56" s="210" t="str">
        <f t="shared" si="12"/>
        <v/>
      </c>
      <c r="AE56" s="215" t="str">
        <f t="shared" ref="AE56:AF56" si="51">IF(ISBLANK(AE23),"",VALUE(AE23))</f>
        <v/>
      </c>
      <c r="AF56" s="216" t="str">
        <f t="shared" si="51"/>
        <v/>
      </c>
      <c r="AG56" s="210" t="str">
        <f t="shared" si="14"/>
        <v/>
      </c>
      <c r="AH56" s="215" t="str">
        <f t="shared" si="45"/>
        <v/>
      </c>
      <c r="AI56" s="216" t="str">
        <f t="shared" si="45"/>
        <v/>
      </c>
      <c r="AJ56" s="210" t="str">
        <f t="shared" si="16"/>
        <v/>
      </c>
      <c r="AK56" s="215" t="str">
        <f t="shared" si="46"/>
        <v/>
      </c>
      <c r="AL56" s="216" t="str">
        <f t="shared" si="46"/>
        <v/>
      </c>
      <c r="AM56" s="210" t="str">
        <f t="shared" si="18"/>
        <v/>
      </c>
      <c r="AN56" s="215" t="str">
        <f t="shared" si="47"/>
        <v/>
      </c>
      <c r="AO56" s="216" t="str">
        <f t="shared" si="47"/>
        <v/>
      </c>
      <c r="AP56" s="210" t="str">
        <f t="shared" si="20"/>
        <v/>
      </c>
      <c r="AQ56" s="232" t="str">
        <f t="shared" si="50"/>
        <v/>
      </c>
      <c r="AR56" s="232" t="str">
        <f t="shared" si="50"/>
        <v/>
      </c>
    </row>
    <row r="57" spans="1:44" s="229" customFormat="1" ht="31" customHeight="1" x14ac:dyDescent="0.35">
      <c r="A57" s="230" t="str">
        <f t="shared" si="38"/>
        <v/>
      </c>
      <c r="B57" s="214" t="str">
        <f t="shared" si="38"/>
        <v/>
      </c>
      <c r="C57" s="212" t="str">
        <f t="shared" si="48"/>
        <v/>
      </c>
      <c r="D57" s="212" t="str">
        <f t="shared" si="48"/>
        <v/>
      </c>
      <c r="E57" s="212" t="str">
        <f t="shared" si="48"/>
        <v/>
      </c>
      <c r="F57" s="212" t="str">
        <f t="shared" si="48"/>
        <v/>
      </c>
      <c r="G57" s="212" t="str">
        <f t="shared" si="48"/>
        <v/>
      </c>
      <c r="H57" s="212" t="str">
        <f t="shared" si="48"/>
        <v/>
      </c>
      <c r="I57" s="211" t="str">
        <f t="shared" si="48"/>
        <v/>
      </c>
      <c r="J57" s="218" t="str">
        <f t="shared" si="48"/>
        <v/>
      </c>
      <c r="K57" s="214" t="str">
        <f t="shared" si="2"/>
        <v/>
      </c>
      <c r="L57" s="211" t="str">
        <f t="shared" si="48"/>
        <v/>
      </c>
      <c r="M57" s="214" t="str">
        <f t="shared" si="39"/>
        <v/>
      </c>
      <c r="N57" s="214" t="str">
        <f t="shared" si="39"/>
        <v/>
      </c>
      <c r="O57" s="214" t="str">
        <f t="shared" si="39"/>
        <v/>
      </c>
      <c r="P57" s="215" t="str">
        <f t="shared" si="39"/>
        <v/>
      </c>
      <c r="Q57" s="216" t="str">
        <f t="shared" si="39"/>
        <v/>
      </c>
      <c r="R57" s="210" t="str">
        <f t="shared" si="4"/>
        <v/>
      </c>
      <c r="S57" s="215" t="str">
        <f t="shared" si="40"/>
        <v/>
      </c>
      <c r="T57" s="216" t="str">
        <f t="shared" si="40"/>
        <v/>
      </c>
      <c r="U57" s="210" t="str">
        <f t="shared" si="6"/>
        <v/>
      </c>
      <c r="V57" s="215" t="str">
        <f t="shared" si="41"/>
        <v/>
      </c>
      <c r="W57" s="216" t="str">
        <f t="shared" si="41"/>
        <v/>
      </c>
      <c r="X57" s="210" t="str">
        <f t="shared" si="8"/>
        <v/>
      </c>
      <c r="Y57" s="215" t="str">
        <f t="shared" si="42"/>
        <v/>
      </c>
      <c r="Z57" s="216" t="str">
        <f t="shared" si="42"/>
        <v/>
      </c>
      <c r="AA57" s="210" t="str">
        <f t="shared" si="10"/>
        <v/>
      </c>
      <c r="AB57" s="215" t="str">
        <f t="shared" si="43"/>
        <v/>
      </c>
      <c r="AC57" s="216" t="str">
        <f t="shared" si="43"/>
        <v/>
      </c>
      <c r="AD57" s="210" t="str">
        <f t="shared" si="12"/>
        <v/>
      </c>
      <c r="AE57" s="215" t="str">
        <f t="shared" ref="AE57:AF57" si="52">IF(ISBLANK(AE24),"",VALUE(AE24))</f>
        <v/>
      </c>
      <c r="AF57" s="216" t="str">
        <f t="shared" si="52"/>
        <v/>
      </c>
      <c r="AG57" s="210" t="str">
        <f t="shared" si="14"/>
        <v/>
      </c>
      <c r="AH57" s="215" t="str">
        <f t="shared" si="45"/>
        <v/>
      </c>
      <c r="AI57" s="216" t="str">
        <f t="shared" si="45"/>
        <v/>
      </c>
      <c r="AJ57" s="210" t="str">
        <f t="shared" si="16"/>
        <v/>
      </c>
      <c r="AK57" s="215" t="str">
        <f t="shared" si="46"/>
        <v/>
      </c>
      <c r="AL57" s="216" t="str">
        <f t="shared" si="46"/>
        <v/>
      </c>
      <c r="AM57" s="210" t="str">
        <f t="shared" si="18"/>
        <v/>
      </c>
      <c r="AN57" s="215" t="str">
        <f t="shared" si="47"/>
        <v/>
      </c>
      <c r="AO57" s="216" t="str">
        <f t="shared" si="47"/>
        <v/>
      </c>
      <c r="AP57" s="210" t="str">
        <f t="shared" si="20"/>
        <v/>
      </c>
      <c r="AQ57" s="232" t="str">
        <f t="shared" si="50"/>
        <v/>
      </c>
      <c r="AR57" s="232" t="str">
        <f t="shared" si="50"/>
        <v/>
      </c>
    </row>
    <row r="58" spans="1:44" s="229" customFormat="1" ht="31" customHeight="1" x14ac:dyDescent="0.35">
      <c r="A58" s="230" t="str">
        <f t="shared" si="38"/>
        <v/>
      </c>
      <c r="B58" s="214" t="str">
        <f t="shared" si="38"/>
        <v/>
      </c>
      <c r="C58" s="212" t="str">
        <f t="shared" si="48"/>
        <v/>
      </c>
      <c r="D58" s="212" t="str">
        <f t="shared" si="48"/>
        <v/>
      </c>
      <c r="E58" s="212" t="str">
        <f t="shared" si="48"/>
        <v/>
      </c>
      <c r="F58" s="212" t="str">
        <f t="shared" si="48"/>
        <v/>
      </c>
      <c r="G58" s="212" t="str">
        <f t="shared" si="48"/>
        <v/>
      </c>
      <c r="H58" s="212" t="str">
        <f t="shared" si="48"/>
        <v/>
      </c>
      <c r="I58" s="211" t="str">
        <f t="shared" si="48"/>
        <v/>
      </c>
      <c r="J58" s="218" t="str">
        <f t="shared" si="48"/>
        <v/>
      </c>
      <c r="K58" s="214" t="str">
        <f t="shared" si="2"/>
        <v/>
      </c>
      <c r="L58" s="211" t="str">
        <f t="shared" si="48"/>
        <v/>
      </c>
      <c r="M58" s="214" t="str">
        <f t="shared" si="39"/>
        <v/>
      </c>
      <c r="N58" s="214" t="str">
        <f t="shared" si="39"/>
        <v/>
      </c>
      <c r="O58" s="214" t="str">
        <f t="shared" si="39"/>
        <v/>
      </c>
      <c r="P58" s="215" t="str">
        <f t="shared" si="39"/>
        <v/>
      </c>
      <c r="Q58" s="216" t="str">
        <f t="shared" si="39"/>
        <v/>
      </c>
      <c r="R58" s="210" t="str">
        <f t="shared" si="4"/>
        <v/>
      </c>
      <c r="S58" s="215" t="str">
        <f t="shared" si="40"/>
        <v/>
      </c>
      <c r="T58" s="216" t="str">
        <f t="shared" si="40"/>
        <v/>
      </c>
      <c r="U58" s="210" t="str">
        <f t="shared" si="6"/>
        <v/>
      </c>
      <c r="V58" s="215" t="str">
        <f t="shared" si="41"/>
        <v/>
      </c>
      <c r="W58" s="216" t="str">
        <f t="shared" si="41"/>
        <v/>
      </c>
      <c r="X58" s="210" t="str">
        <f t="shared" si="8"/>
        <v/>
      </c>
      <c r="Y58" s="215" t="str">
        <f t="shared" si="42"/>
        <v/>
      </c>
      <c r="Z58" s="216" t="str">
        <f t="shared" si="42"/>
        <v/>
      </c>
      <c r="AA58" s="210" t="str">
        <f t="shared" si="10"/>
        <v/>
      </c>
      <c r="AB58" s="215" t="str">
        <f t="shared" si="43"/>
        <v/>
      </c>
      <c r="AC58" s="216" t="str">
        <f t="shared" si="43"/>
        <v/>
      </c>
      <c r="AD58" s="210" t="str">
        <f t="shared" si="12"/>
        <v/>
      </c>
      <c r="AE58" s="215" t="str">
        <f t="shared" ref="AE58:AF58" si="53">IF(ISBLANK(AE25),"",VALUE(AE25))</f>
        <v/>
      </c>
      <c r="AF58" s="216" t="str">
        <f t="shared" si="53"/>
        <v/>
      </c>
      <c r="AG58" s="210" t="str">
        <f t="shared" si="14"/>
        <v/>
      </c>
      <c r="AH58" s="215" t="str">
        <f t="shared" si="45"/>
        <v/>
      </c>
      <c r="AI58" s="216" t="str">
        <f t="shared" si="45"/>
        <v/>
      </c>
      <c r="AJ58" s="210" t="str">
        <f t="shared" si="16"/>
        <v/>
      </c>
      <c r="AK58" s="215" t="str">
        <f t="shared" si="46"/>
        <v/>
      </c>
      <c r="AL58" s="216" t="str">
        <f t="shared" si="46"/>
        <v/>
      </c>
      <c r="AM58" s="210" t="str">
        <f t="shared" si="18"/>
        <v/>
      </c>
      <c r="AN58" s="215" t="str">
        <f t="shared" si="47"/>
        <v/>
      </c>
      <c r="AO58" s="216" t="str">
        <f t="shared" si="47"/>
        <v/>
      </c>
      <c r="AP58" s="210" t="str">
        <f t="shared" si="20"/>
        <v/>
      </c>
      <c r="AQ58" s="232" t="str">
        <f t="shared" si="50"/>
        <v/>
      </c>
      <c r="AR58" s="232" t="str">
        <f t="shared" si="50"/>
        <v/>
      </c>
    </row>
    <row r="59" spans="1:44" s="229" customFormat="1" ht="31" customHeight="1" x14ac:dyDescent="0.35">
      <c r="A59" s="230" t="str">
        <f t="shared" si="38"/>
        <v/>
      </c>
      <c r="B59" s="214" t="str">
        <f t="shared" si="38"/>
        <v/>
      </c>
      <c r="C59" s="212" t="str">
        <f t="shared" si="48"/>
        <v/>
      </c>
      <c r="D59" s="212" t="str">
        <f t="shared" si="48"/>
        <v/>
      </c>
      <c r="E59" s="212" t="str">
        <f t="shared" si="48"/>
        <v/>
      </c>
      <c r="F59" s="212" t="str">
        <f t="shared" si="48"/>
        <v/>
      </c>
      <c r="G59" s="212" t="str">
        <f t="shared" si="48"/>
        <v/>
      </c>
      <c r="H59" s="212" t="str">
        <f t="shared" si="48"/>
        <v/>
      </c>
      <c r="I59" s="211" t="str">
        <f t="shared" si="48"/>
        <v/>
      </c>
      <c r="J59" s="218" t="str">
        <f t="shared" si="48"/>
        <v/>
      </c>
      <c r="K59" s="214" t="str">
        <f t="shared" si="2"/>
        <v/>
      </c>
      <c r="L59" s="211" t="str">
        <f t="shared" si="48"/>
        <v/>
      </c>
      <c r="M59" s="214" t="str">
        <f t="shared" si="39"/>
        <v/>
      </c>
      <c r="N59" s="214" t="str">
        <f t="shared" si="39"/>
        <v/>
      </c>
      <c r="O59" s="214" t="str">
        <f t="shared" si="39"/>
        <v/>
      </c>
      <c r="P59" s="215" t="str">
        <f t="shared" si="39"/>
        <v/>
      </c>
      <c r="Q59" s="216" t="str">
        <f t="shared" si="39"/>
        <v/>
      </c>
      <c r="R59" s="210" t="str">
        <f t="shared" si="4"/>
        <v/>
      </c>
      <c r="S59" s="215" t="str">
        <f t="shared" si="40"/>
        <v/>
      </c>
      <c r="T59" s="216" t="str">
        <f t="shared" si="40"/>
        <v/>
      </c>
      <c r="U59" s="210" t="str">
        <f t="shared" si="6"/>
        <v/>
      </c>
      <c r="V59" s="215" t="str">
        <f t="shared" si="41"/>
        <v/>
      </c>
      <c r="W59" s="216" t="str">
        <f t="shared" si="41"/>
        <v/>
      </c>
      <c r="X59" s="210" t="str">
        <f t="shared" si="8"/>
        <v/>
      </c>
      <c r="Y59" s="215" t="str">
        <f t="shared" si="42"/>
        <v/>
      </c>
      <c r="Z59" s="216" t="str">
        <f t="shared" si="42"/>
        <v/>
      </c>
      <c r="AA59" s="210" t="str">
        <f t="shared" si="10"/>
        <v/>
      </c>
      <c r="AB59" s="215" t="str">
        <f t="shared" si="43"/>
        <v/>
      </c>
      <c r="AC59" s="216" t="str">
        <f t="shared" si="43"/>
        <v/>
      </c>
      <c r="AD59" s="210" t="str">
        <f t="shared" si="12"/>
        <v/>
      </c>
      <c r="AE59" s="215" t="str">
        <f t="shared" ref="AE59:AF59" si="54">IF(ISBLANK(AE26),"",VALUE(AE26))</f>
        <v/>
      </c>
      <c r="AF59" s="216" t="str">
        <f t="shared" si="54"/>
        <v/>
      </c>
      <c r="AG59" s="210" t="str">
        <f t="shared" si="14"/>
        <v/>
      </c>
      <c r="AH59" s="215" t="str">
        <f t="shared" si="45"/>
        <v/>
      </c>
      <c r="AI59" s="216" t="str">
        <f t="shared" si="45"/>
        <v/>
      </c>
      <c r="AJ59" s="210" t="str">
        <f t="shared" si="16"/>
        <v/>
      </c>
      <c r="AK59" s="215" t="str">
        <f t="shared" si="46"/>
        <v/>
      </c>
      <c r="AL59" s="216" t="str">
        <f t="shared" si="46"/>
        <v/>
      </c>
      <c r="AM59" s="210" t="str">
        <f t="shared" si="18"/>
        <v/>
      </c>
      <c r="AN59" s="215" t="str">
        <f t="shared" si="47"/>
        <v/>
      </c>
      <c r="AO59" s="216" t="str">
        <f t="shared" si="47"/>
        <v/>
      </c>
      <c r="AP59" s="210" t="str">
        <f t="shared" si="20"/>
        <v/>
      </c>
      <c r="AQ59" s="232" t="str">
        <f t="shared" si="50"/>
        <v/>
      </c>
      <c r="AR59" s="232" t="str">
        <f t="shared" si="50"/>
        <v/>
      </c>
    </row>
    <row r="60" spans="1:44" s="229" customFormat="1" ht="31" customHeight="1" x14ac:dyDescent="0.35">
      <c r="A60" s="230" t="str">
        <f t="shared" si="38"/>
        <v/>
      </c>
      <c r="B60" s="214" t="str">
        <f t="shared" si="38"/>
        <v/>
      </c>
      <c r="C60" s="212" t="str">
        <f t="shared" si="48"/>
        <v/>
      </c>
      <c r="D60" s="212" t="str">
        <f t="shared" si="48"/>
        <v/>
      </c>
      <c r="E60" s="212" t="str">
        <f t="shared" si="48"/>
        <v/>
      </c>
      <c r="F60" s="212" t="str">
        <f t="shared" si="48"/>
        <v/>
      </c>
      <c r="G60" s="212" t="str">
        <f t="shared" si="48"/>
        <v/>
      </c>
      <c r="H60" s="212" t="str">
        <f t="shared" si="48"/>
        <v/>
      </c>
      <c r="I60" s="211" t="str">
        <f t="shared" si="48"/>
        <v/>
      </c>
      <c r="J60" s="218" t="str">
        <f t="shared" si="48"/>
        <v/>
      </c>
      <c r="K60" s="214" t="str">
        <f t="shared" si="2"/>
        <v/>
      </c>
      <c r="L60" s="211" t="str">
        <f t="shared" si="48"/>
        <v/>
      </c>
      <c r="M60" s="214" t="str">
        <f t="shared" si="39"/>
        <v/>
      </c>
      <c r="N60" s="214" t="str">
        <f t="shared" si="39"/>
        <v/>
      </c>
      <c r="O60" s="214" t="str">
        <f t="shared" si="39"/>
        <v/>
      </c>
      <c r="P60" s="215" t="str">
        <f t="shared" si="39"/>
        <v/>
      </c>
      <c r="Q60" s="216" t="str">
        <f t="shared" si="39"/>
        <v/>
      </c>
      <c r="R60" s="210" t="str">
        <f t="shared" si="4"/>
        <v/>
      </c>
      <c r="S60" s="215" t="str">
        <f t="shared" si="40"/>
        <v/>
      </c>
      <c r="T60" s="216" t="str">
        <f t="shared" si="40"/>
        <v/>
      </c>
      <c r="U60" s="210" t="str">
        <f t="shared" si="6"/>
        <v/>
      </c>
      <c r="V60" s="215" t="str">
        <f t="shared" si="41"/>
        <v/>
      </c>
      <c r="W60" s="216" t="str">
        <f t="shared" si="41"/>
        <v/>
      </c>
      <c r="X60" s="210" t="str">
        <f t="shared" si="8"/>
        <v/>
      </c>
      <c r="Y60" s="215" t="str">
        <f t="shared" si="42"/>
        <v/>
      </c>
      <c r="Z60" s="216" t="str">
        <f t="shared" si="42"/>
        <v/>
      </c>
      <c r="AA60" s="210" t="str">
        <f t="shared" si="10"/>
        <v/>
      </c>
      <c r="AB60" s="215" t="str">
        <f t="shared" si="43"/>
        <v/>
      </c>
      <c r="AC60" s="216" t="str">
        <f t="shared" si="43"/>
        <v/>
      </c>
      <c r="AD60" s="210" t="str">
        <f t="shared" si="12"/>
        <v/>
      </c>
      <c r="AE60" s="215" t="str">
        <f t="shared" ref="AE60:AF60" si="55">IF(ISBLANK(AE27),"",VALUE(AE27))</f>
        <v/>
      </c>
      <c r="AF60" s="216" t="str">
        <f t="shared" si="55"/>
        <v/>
      </c>
      <c r="AG60" s="210" t="str">
        <f t="shared" si="14"/>
        <v/>
      </c>
      <c r="AH60" s="215" t="str">
        <f t="shared" si="45"/>
        <v/>
      </c>
      <c r="AI60" s="216" t="str">
        <f t="shared" si="45"/>
        <v/>
      </c>
      <c r="AJ60" s="210" t="str">
        <f t="shared" si="16"/>
        <v/>
      </c>
      <c r="AK60" s="215" t="str">
        <f t="shared" si="46"/>
        <v/>
      </c>
      <c r="AL60" s="216" t="str">
        <f t="shared" si="46"/>
        <v/>
      </c>
      <c r="AM60" s="210" t="str">
        <f t="shared" si="18"/>
        <v/>
      </c>
      <c r="AN60" s="215" t="str">
        <f t="shared" si="47"/>
        <v/>
      </c>
      <c r="AO60" s="216" t="str">
        <f t="shared" si="47"/>
        <v/>
      </c>
      <c r="AP60" s="210" t="str">
        <f t="shared" si="20"/>
        <v/>
      </c>
      <c r="AQ60" s="232" t="str">
        <f t="shared" si="50"/>
        <v/>
      </c>
      <c r="AR60" s="232" t="str">
        <f t="shared" si="50"/>
        <v/>
      </c>
    </row>
    <row r="61" spans="1:44" s="229" customFormat="1" ht="31" customHeight="1" x14ac:dyDescent="0.35">
      <c r="A61" s="230" t="str">
        <f t="shared" si="38"/>
        <v/>
      </c>
      <c r="B61" s="214" t="str">
        <f t="shared" si="38"/>
        <v/>
      </c>
      <c r="C61" s="212" t="str">
        <f t="shared" si="48"/>
        <v/>
      </c>
      <c r="D61" s="212" t="str">
        <f t="shared" si="48"/>
        <v/>
      </c>
      <c r="E61" s="212" t="str">
        <f t="shared" si="48"/>
        <v/>
      </c>
      <c r="F61" s="212" t="str">
        <f t="shared" si="48"/>
        <v/>
      </c>
      <c r="G61" s="212" t="str">
        <f t="shared" si="48"/>
        <v/>
      </c>
      <c r="H61" s="212" t="str">
        <f t="shared" si="48"/>
        <v/>
      </c>
      <c r="I61" s="211" t="str">
        <f t="shared" si="48"/>
        <v/>
      </c>
      <c r="J61" s="218" t="str">
        <f t="shared" si="48"/>
        <v/>
      </c>
      <c r="K61" s="214" t="str">
        <f t="shared" si="2"/>
        <v/>
      </c>
      <c r="L61" s="211" t="str">
        <f t="shared" si="48"/>
        <v/>
      </c>
      <c r="M61" s="214" t="str">
        <f t="shared" si="39"/>
        <v/>
      </c>
      <c r="N61" s="214" t="str">
        <f t="shared" si="39"/>
        <v/>
      </c>
      <c r="O61" s="214" t="str">
        <f t="shared" si="39"/>
        <v/>
      </c>
      <c r="P61" s="215" t="str">
        <f t="shared" si="39"/>
        <v/>
      </c>
      <c r="Q61" s="216" t="str">
        <f t="shared" si="39"/>
        <v/>
      </c>
      <c r="R61" s="210" t="str">
        <f t="shared" si="4"/>
        <v/>
      </c>
      <c r="S61" s="215" t="str">
        <f t="shared" si="40"/>
        <v/>
      </c>
      <c r="T61" s="216" t="str">
        <f t="shared" si="40"/>
        <v/>
      </c>
      <c r="U61" s="210" t="str">
        <f t="shared" si="6"/>
        <v/>
      </c>
      <c r="V61" s="215" t="str">
        <f t="shared" si="41"/>
        <v/>
      </c>
      <c r="W61" s="216" t="str">
        <f t="shared" si="41"/>
        <v/>
      </c>
      <c r="X61" s="210" t="str">
        <f t="shared" si="8"/>
        <v/>
      </c>
      <c r="Y61" s="215" t="str">
        <f t="shared" si="42"/>
        <v/>
      </c>
      <c r="Z61" s="216" t="str">
        <f t="shared" si="42"/>
        <v/>
      </c>
      <c r="AA61" s="210" t="str">
        <f t="shared" si="10"/>
        <v/>
      </c>
      <c r="AB61" s="215" t="str">
        <f t="shared" si="43"/>
        <v/>
      </c>
      <c r="AC61" s="216" t="str">
        <f t="shared" si="43"/>
        <v/>
      </c>
      <c r="AD61" s="210" t="str">
        <f t="shared" si="12"/>
        <v/>
      </c>
      <c r="AE61" s="215" t="str">
        <f t="shared" ref="AE61:AF61" si="56">IF(ISBLANK(AE28),"",VALUE(AE28))</f>
        <v/>
      </c>
      <c r="AF61" s="216" t="str">
        <f t="shared" si="56"/>
        <v/>
      </c>
      <c r="AG61" s="210" t="str">
        <f t="shared" si="14"/>
        <v/>
      </c>
      <c r="AH61" s="215" t="str">
        <f t="shared" si="45"/>
        <v/>
      </c>
      <c r="AI61" s="216" t="str">
        <f t="shared" si="45"/>
        <v/>
      </c>
      <c r="AJ61" s="210" t="str">
        <f t="shared" si="16"/>
        <v/>
      </c>
      <c r="AK61" s="215" t="str">
        <f t="shared" si="46"/>
        <v/>
      </c>
      <c r="AL61" s="216" t="str">
        <f t="shared" si="46"/>
        <v/>
      </c>
      <c r="AM61" s="210" t="str">
        <f t="shared" si="18"/>
        <v/>
      </c>
      <c r="AN61" s="215" t="str">
        <f t="shared" si="47"/>
        <v/>
      </c>
      <c r="AO61" s="216" t="str">
        <f t="shared" si="47"/>
        <v/>
      </c>
      <c r="AP61" s="210" t="str">
        <f t="shared" si="20"/>
        <v/>
      </c>
      <c r="AQ61" s="232" t="str">
        <f t="shared" si="50"/>
        <v/>
      </c>
      <c r="AR61" s="232" t="str">
        <f t="shared" si="50"/>
        <v/>
      </c>
    </row>
    <row r="62" spans="1:44" s="229" customFormat="1" ht="31" customHeight="1" x14ac:dyDescent="0.35">
      <c r="A62" s="230" t="str">
        <f t="shared" si="38"/>
        <v/>
      </c>
      <c r="B62" s="214" t="str">
        <f t="shared" si="38"/>
        <v/>
      </c>
      <c r="C62" s="212" t="str">
        <f t="shared" si="48"/>
        <v/>
      </c>
      <c r="D62" s="212" t="str">
        <f t="shared" si="48"/>
        <v/>
      </c>
      <c r="E62" s="212" t="str">
        <f t="shared" si="48"/>
        <v/>
      </c>
      <c r="F62" s="212" t="str">
        <f t="shared" si="48"/>
        <v/>
      </c>
      <c r="G62" s="212" t="str">
        <f t="shared" si="48"/>
        <v/>
      </c>
      <c r="H62" s="212" t="str">
        <f t="shared" si="48"/>
        <v/>
      </c>
      <c r="I62" s="211" t="str">
        <f t="shared" si="48"/>
        <v/>
      </c>
      <c r="J62" s="218" t="str">
        <f t="shared" si="48"/>
        <v/>
      </c>
      <c r="K62" s="214" t="str">
        <f t="shared" si="2"/>
        <v/>
      </c>
      <c r="L62" s="211" t="str">
        <f t="shared" si="48"/>
        <v/>
      </c>
      <c r="M62" s="214" t="str">
        <f t="shared" si="39"/>
        <v/>
      </c>
      <c r="N62" s="214" t="str">
        <f t="shared" si="39"/>
        <v/>
      </c>
      <c r="O62" s="214" t="str">
        <f t="shared" si="39"/>
        <v/>
      </c>
      <c r="P62" s="215" t="str">
        <f t="shared" si="39"/>
        <v/>
      </c>
      <c r="Q62" s="216" t="str">
        <f t="shared" si="39"/>
        <v/>
      </c>
      <c r="R62" s="210" t="str">
        <f t="shared" si="4"/>
        <v/>
      </c>
      <c r="S62" s="215" t="str">
        <f t="shared" si="40"/>
        <v/>
      </c>
      <c r="T62" s="216" t="str">
        <f t="shared" si="40"/>
        <v/>
      </c>
      <c r="U62" s="210" t="str">
        <f t="shared" si="6"/>
        <v/>
      </c>
      <c r="V62" s="215" t="str">
        <f t="shared" si="41"/>
        <v/>
      </c>
      <c r="W62" s="216" t="str">
        <f t="shared" si="41"/>
        <v/>
      </c>
      <c r="X62" s="210" t="str">
        <f t="shared" si="8"/>
        <v/>
      </c>
      <c r="Y62" s="215" t="str">
        <f t="shared" si="42"/>
        <v/>
      </c>
      <c r="Z62" s="216" t="str">
        <f t="shared" si="42"/>
        <v/>
      </c>
      <c r="AA62" s="210" t="str">
        <f t="shared" si="10"/>
        <v/>
      </c>
      <c r="AB62" s="215" t="str">
        <f t="shared" si="43"/>
        <v/>
      </c>
      <c r="AC62" s="216" t="str">
        <f t="shared" si="43"/>
        <v/>
      </c>
      <c r="AD62" s="210" t="str">
        <f t="shared" si="12"/>
        <v/>
      </c>
      <c r="AE62" s="215" t="str">
        <f t="shared" ref="AE62:AF62" si="57">IF(ISBLANK(AE29),"",VALUE(AE29))</f>
        <v/>
      </c>
      <c r="AF62" s="216" t="str">
        <f t="shared" si="57"/>
        <v/>
      </c>
      <c r="AG62" s="210" t="str">
        <f t="shared" si="14"/>
        <v/>
      </c>
      <c r="AH62" s="215" t="str">
        <f t="shared" si="45"/>
        <v/>
      </c>
      <c r="AI62" s="216" t="str">
        <f t="shared" si="45"/>
        <v/>
      </c>
      <c r="AJ62" s="210" t="str">
        <f t="shared" si="16"/>
        <v/>
      </c>
      <c r="AK62" s="215" t="str">
        <f t="shared" si="46"/>
        <v/>
      </c>
      <c r="AL62" s="216" t="str">
        <f t="shared" si="46"/>
        <v/>
      </c>
      <c r="AM62" s="210" t="str">
        <f t="shared" si="18"/>
        <v/>
      </c>
      <c r="AN62" s="215" t="str">
        <f t="shared" si="47"/>
        <v/>
      </c>
      <c r="AO62" s="216" t="str">
        <f t="shared" si="47"/>
        <v/>
      </c>
      <c r="AP62" s="210" t="str">
        <f t="shared" si="20"/>
        <v/>
      </c>
      <c r="AQ62" s="232" t="str">
        <f t="shared" si="50"/>
        <v/>
      </c>
      <c r="AR62" s="232" t="str">
        <f t="shared" si="50"/>
        <v/>
      </c>
    </row>
    <row r="63" spans="1:44" s="229" customFormat="1" ht="31" customHeight="1" x14ac:dyDescent="0.35">
      <c r="A63" s="230" t="str">
        <f t="shared" si="38"/>
        <v/>
      </c>
      <c r="B63" s="214" t="str">
        <f t="shared" si="38"/>
        <v/>
      </c>
      <c r="C63" s="212" t="str">
        <f t="shared" si="48"/>
        <v/>
      </c>
      <c r="D63" s="212" t="str">
        <f t="shared" si="48"/>
        <v/>
      </c>
      <c r="E63" s="212" t="str">
        <f t="shared" si="48"/>
        <v/>
      </c>
      <c r="F63" s="212" t="str">
        <f t="shared" si="48"/>
        <v/>
      </c>
      <c r="G63" s="212" t="str">
        <f t="shared" si="48"/>
        <v/>
      </c>
      <c r="H63" s="212" t="str">
        <f t="shared" si="48"/>
        <v/>
      </c>
      <c r="I63" s="211" t="str">
        <f t="shared" si="48"/>
        <v/>
      </c>
      <c r="J63" s="218" t="str">
        <f t="shared" si="48"/>
        <v/>
      </c>
      <c r="K63" s="214" t="str">
        <f t="shared" si="2"/>
        <v/>
      </c>
      <c r="L63" s="211" t="str">
        <f t="shared" si="48"/>
        <v/>
      </c>
      <c r="M63" s="214" t="str">
        <f t="shared" si="39"/>
        <v/>
      </c>
      <c r="N63" s="214" t="str">
        <f t="shared" si="39"/>
        <v/>
      </c>
      <c r="O63" s="214" t="str">
        <f t="shared" si="39"/>
        <v/>
      </c>
      <c r="P63" s="215" t="str">
        <f t="shared" si="39"/>
        <v/>
      </c>
      <c r="Q63" s="216" t="str">
        <f t="shared" si="39"/>
        <v/>
      </c>
      <c r="R63" s="210" t="str">
        <f t="shared" si="4"/>
        <v/>
      </c>
      <c r="S63" s="215" t="str">
        <f t="shared" si="40"/>
        <v/>
      </c>
      <c r="T63" s="216" t="str">
        <f t="shared" si="40"/>
        <v/>
      </c>
      <c r="U63" s="210" t="str">
        <f t="shared" si="6"/>
        <v/>
      </c>
      <c r="V63" s="215" t="str">
        <f t="shared" si="41"/>
        <v/>
      </c>
      <c r="W63" s="216" t="str">
        <f t="shared" si="41"/>
        <v/>
      </c>
      <c r="X63" s="210" t="str">
        <f t="shared" si="8"/>
        <v/>
      </c>
      <c r="Y63" s="215" t="str">
        <f t="shared" si="42"/>
        <v/>
      </c>
      <c r="Z63" s="216" t="str">
        <f t="shared" si="42"/>
        <v/>
      </c>
      <c r="AA63" s="210" t="str">
        <f t="shared" si="10"/>
        <v/>
      </c>
      <c r="AB63" s="215" t="str">
        <f t="shared" si="43"/>
        <v/>
      </c>
      <c r="AC63" s="216" t="str">
        <f t="shared" si="43"/>
        <v/>
      </c>
      <c r="AD63" s="210" t="str">
        <f t="shared" si="12"/>
        <v/>
      </c>
      <c r="AE63" s="215" t="str">
        <f t="shared" ref="AE63:AF63" si="58">IF(ISBLANK(AE30),"",VALUE(AE30))</f>
        <v/>
      </c>
      <c r="AF63" s="216" t="str">
        <f t="shared" si="58"/>
        <v/>
      </c>
      <c r="AG63" s="210" t="str">
        <f t="shared" si="14"/>
        <v/>
      </c>
      <c r="AH63" s="215" t="str">
        <f t="shared" si="45"/>
        <v/>
      </c>
      <c r="AI63" s="216" t="str">
        <f t="shared" si="45"/>
        <v/>
      </c>
      <c r="AJ63" s="210" t="str">
        <f t="shared" si="16"/>
        <v/>
      </c>
      <c r="AK63" s="215" t="str">
        <f t="shared" si="46"/>
        <v/>
      </c>
      <c r="AL63" s="216" t="str">
        <f t="shared" si="46"/>
        <v/>
      </c>
      <c r="AM63" s="210" t="str">
        <f t="shared" si="18"/>
        <v/>
      </c>
      <c r="AN63" s="215" t="str">
        <f t="shared" si="47"/>
        <v/>
      </c>
      <c r="AO63" s="216" t="str">
        <f t="shared" si="47"/>
        <v/>
      </c>
      <c r="AP63" s="210" t="str">
        <f t="shared" si="20"/>
        <v/>
      </c>
      <c r="AQ63" s="232" t="str">
        <f t="shared" si="50"/>
        <v/>
      </c>
      <c r="AR63" s="232" t="str">
        <f t="shared" si="50"/>
        <v/>
      </c>
    </row>
    <row r="64" spans="1:44" s="229" customFormat="1" ht="31" customHeight="1" x14ac:dyDescent="0.35">
      <c r="A64" s="230" t="str">
        <f t="shared" si="38"/>
        <v/>
      </c>
      <c r="B64" s="214" t="str">
        <f t="shared" si="38"/>
        <v/>
      </c>
      <c r="C64" s="212" t="str">
        <f t="shared" si="48"/>
        <v/>
      </c>
      <c r="D64" s="212" t="str">
        <f t="shared" si="48"/>
        <v/>
      </c>
      <c r="E64" s="212" t="str">
        <f t="shared" si="48"/>
        <v/>
      </c>
      <c r="F64" s="212" t="str">
        <f t="shared" si="48"/>
        <v/>
      </c>
      <c r="G64" s="212" t="str">
        <f t="shared" si="48"/>
        <v/>
      </c>
      <c r="H64" s="212" t="str">
        <f t="shared" si="48"/>
        <v/>
      </c>
      <c r="I64" s="211" t="str">
        <f t="shared" si="48"/>
        <v/>
      </c>
      <c r="J64" s="218" t="str">
        <f t="shared" si="48"/>
        <v/>
      </c>
      <c r="K64" s="214" t="str">
        <f t="shared" si="2"/>
        <v/>
      </c>
      <c r="L64" s="211" t="str">
        <f t="shared" si="48"/>
        <v/>
      </c>
      <c r="M64" s="214" t="str">
        <f t="shared" si="39"/>
        <v/>
      </c>
      <c r="N64" s="214" t="str">
        <f t="shared" si="39"/>
        <v/>
      </c>
      <c r="O64" s="214" t="str">
        <f t="shared" si="39"/>
        <v/>
      </c>
      <c r="P64" s="215" t="str">
        <f t="shared" si="39"/>
        <v/>
      </c>
      <c r="Q64" s="216" t="str">
        <f t="shared" si="39"/>
        <v/>
      </c>
      <c r="R64" s="210" t="str">
        <f t="shared" si="4"/>
        <v/>
      </c>
      <c r="S64" s="215" t="str">
        <f t="shared" si="40"/>
        <v/>
      </c>
      <c r="T64" s="216" t="str">
        <f t="shared" si="40"/>
        <v/>
      </c>
      <c r="U64" s="210" t="str">
        <f t="shared" si="6"/>
        <v/>
      </c>
      <c r="V64" s="215" t="str">
        <f t="shared" si="41"/>
        <v/>
      </c>
      <c r="W64" s="216" t="str">
        <f t="shared" si="41"/>
        <v/>
      </c>
      <c r="X64" s="210" t="str">
        <f t="shared" si="8"/>
        <v/>
      </c>
      <c r="Y64" s="215" t="str">
        <f t="shared" si="42"/>
        <v/>
      </c>
      <c r="Z64" s="216" t="str">
        <f t="shared" si="42"/>
        <v/>
      </c>
      <c r="AA64" s="210" t="str">
        <f t="shared" si="10"/>
        <v/>
      </c>
      <c r="AB64" s="215" t="str">
        <f t="shared" si="43"/>
        <v/>
      </c>
      <c r="AC64" s="216" t="str">
        <f t="shared" si="43"/>
        <v/>
      </c>
      <c r="AD64" s="210" t="str">
        <f t="shared" si="12"/>
        <v/>
      </c>
      <c r="AE64" s="215" t="str">
        <f t="shared" ref="AE64:AF64" si="59">IF(ISBLANK(AE31),"",VALUE(AE31))</f>
        <v/>
      </c>
      <c r="AF64" s="216" t="str">
        <f t="shared" si="59"/>
        <v/>
      </c>
      <c r="AG64" s="210" t="str">
        <f t="shared" si="14"/>
        <v/>
      </c>
      <c r="AH64" s="215" t="str">
        <f t="shared" si="45"/>
        <v/>
      </c>
      <c r="AI64" s="216" t="str">
        <f t="shared" si="45"/>
        <v/>
      </c>
      <c r="AJ64" s="210" t="str">
        <f t="shared" si="16"/>
        <v/>
      </c>
      <c r="AK64" s="215" t="str">
        <f t="shared" si="46"/>
        <v/>
      </c>
      <c r="AL64" s="216" t="str">
        <f t="shared" si="46"/>
        <v/>
      </c>
      <c r="AM64" s="210" t="str">
        <f t="shared" si="18"/>
        <v/>
      </c>
      <c r="AN64" s="215" t="str">
        <f t="shared" si="47"/>
        <v/>
      </c>
      <c r="AO64" s="216" t="str">
        <f t="shared" si="47"/>
        <v/>
      </c>
      <c r="AP64" s="210" t="str">
        <f t="shared" si="20"/>
        <v/>
      </c>
      <c r="AQ64" s="232" t="str">
        <f t="shared" si="50"/>
        <v/>
      </c>
      <c r="AR64" s="232" t="str">
        <f t="shared" si="50"/>
        <v/>
      </c>
    </row>
    <row r="65" spans="1:44" s="229" customFormat="1" ht="31" customHeight="1" x14ac:dyDescent="0.35">
      <c r="A65" s="230" t="str">
        <f t="shared" si="38"/>
        <v/>
      </c>
      <c r="B65" s="214" t="str">
        <f t="shared" si="38"/>
        <v/>
      </c>
      <c r="C65" s="212" t="str">
        <f t="shared" si="48"/>
        <v/>
      </c>
      <c r="D65" s="212" t="str">
        <f t="shared" si="48"/>
        <v/>
      </c>
      <c r="E65" s="212" t="str">
        <f t="shared" si="48"/>
        <v/>
      </c>
      <c r="F65" s="212" t="str">
        <f t="shared" si="48"/>
        <v/>
      </c>
      <c r="G65" s="212" t="str">
        <f t="shared" si="48"/>
        <v/>
      </c>
      <c r="H65" s="212" t="str">
        <f t="shared" si="48"/>
        <v/>
      </c>
      <c r="I65" s="211" t="str">
        <f t="shared" si="48"/>
        <v/>
      </c>
      <c r="J65" s="218" t="str">
        <f t="shared" si="48"/>
        <v/>
      </c>
      <c r="K65" s="214" t="str">
        <f t="shared" si="2"/>
        <v/>
      </c>
      <c r="L65" s="211" t="str">
        <f t="shared" si="48"/>
        <v/>
      </c>
      <c r="M65" s="214" t="str">
        <f t="shared" si="39"/>
        <v/>
      </c>
      <c r="N65" s="214" t="str">
        <f t="shared" si="39"/>
        <v/>
      </c>
      <c r="O65" s="214" t="str">
        <f t="shared" si="39"/>
        <v/>
      </c>
      <c r="P65" s="215" t="str">
        <f t="shared" si="39"/>
        <v/>
      </c>
      <c r="Q65" s="216" t="str">
        <f t="shared" si="39"/>
        <v/>
      </c>
      <c r="R65" s="210" t="str">
        <f t="shared" si="4"/>
        <v/>
      </c>
      <c r="S65" s="215" t="str">
        <f t="shared" si="40"/>
        <v/>
      </c>
      <c r="T65" s="216" t="str">
        <f t="shared" si="40"/>
        <v/>
      </c>
      <c r="U65" s="210" t="str">
        <f t="shared" si="6"/>
        <v/>
      </c>
      <c r="V65" s="215" t="str">
        <f t="shared" si="41"/>
        <v/>
      </c>
      <c r="W65" s="216" t="str">
        <f t="shared" si="41"/>
        <v/>
      </c>
      <c r="X65" s="210" t="str">
        <f t="shared" si="8"/>
        <v/>
      </c>
      <c r="Y65" s="215" t="str">
        <f t="shared" si="42"/>
        <v/>
      </c>
      <c r="Z65" s="216" t="str">
        <f t="shared" si="42"/>
        <v/>
      </c>
      <c r="AA65" s="210" t="str">
        <f t="shared" si="10"/>
        <v/>
      </c>
      <c r="AB65" s="215" t="str">
        <f t="shared" si="43"/>
        <v/>
      </c>
      <c r="AC65" s="216" t="str">
        <f t="shared" si="43"/>
        <v/>
      </c>
      <c r="AD65" s="210" t="str">
        <f t="shared" si="12"/>
        <v/>
      </c>
      <c r="AE65" s="215" t="str">
        <f t="shared" ref="AE65:AF65" si="60">IF(ISBLANK(AE32),"",VALUE(AE32))</f>
        <v/>
      </c>
      <c r="AF65" s="216" t="str">
        <f t="shared" si="60"/>
        <v/>
      </c>
      <c r="AG65" s="210" t="str">
        <f t="shared" si="14"/>
        <v/>
      </c>
      <c r="AH65" s="215" t="str">
        <f t="shared" si="45"/>
        <v/>
      </c>
      <c r="AI65" s="216" t="str">
        <f t="shared" si="45"/>
        <v/>
      </c>
      <c r="AJ65" s="210" t="str">
        <f t="shared" si="16"/>
        <v/>
      </c>
      <c r="AK65" s="215" t="str">
        <f t="shared" si="46"/>
        <v/>
      </c>
      <c r="AL65" s="216" t="str">
        <f t="shared" si="46"/>
        <v/>
      </c>
      <c r="AM65" s="210" t="str">
        <f t="shared" si="18"/>
        <v/>
      </c>
      <c r="AN65" s="215" t="str">
        <f t="shared" si="47"/>
        <v/>
      </c>
      <c r="AO65" s="216" t="str">
        <f t="shared" si="47"/>
        <v/>
      </c>
      <c r="AP65" s="210" t="str">
        <f t="shared" si="20"/>
        <v/>
      </c>
      <c r="AQ65" s="232" t="str">
        <f t="shared" si="50"/>
        <v/>
      </c>
      <c r="AR65" s="232" t="str">
        <f t="shared" si="50"/>
        <v/>
      </c>
    </row>
    <row r="66" spans="1:44" s="229" customFormat="1" ht="31" customHeight="1" x14ac:dyDescent="0.35">
      <c r="A66" s="230" t="str">
        <f t="shared" si="38"/>
        <v/>
      </c>
      <c r="B66" s="214" t="str">
        <f t="shared" si="38"/>
        <v/>
      </c>
      <c r="C66" s="212" t="str">
        <f t="shared" si="48"/>
        <v/>
      </c>
      <c r="D66" s="212" t="str">
        <f t="shared" si="48"/>
        <v/>
      </c>
      <c r="E66" s="212" t="str">
        <f t="shared" si="48"/>
        <v/>
      </c>
      <c r="F66" s="212" t="str">
        <f t="shared" si="48"/>
        <v/>
      </c>
      <c r="G66" s="212" t="str">
        <f t="shared" si="48"/>
        <v/>
      </c>
      <c r="H66" s="212" t="str">
        <f t="shared" si="48"/>
        <v/>
      </c>
      <c r="I66" s="211" t="str">
        <f t="shared" si="48"/>
        <v/>
      </c>
      <c r="J66" s="218" t="str">
        <f t="shared" si="48"/>
        <v/>
      </c>
      <c r="K66" s="214" t="str">
        <f t="shared" si="2"/>
        <v/>
      </c>
      <c r="L66" s="211" t="str">
        <f t="shared" si="48"/>
        <v/>
      </c>
      <c r="M66" s="214" t="str">
        <f t="shared" si="39"/>
        <v/>
      </c>
      <c r="N66" s="214" t="str">
        <f t="shared" si="39"/>
        <v/>
      </c>
      <c r="O66" s="214" t="str">
        <f t="shared" si="39"/>
        <v/>
      </c>
      <c r="P66" s="215" t="str">
        <f t="shared" si="39"/>
        <v/>
      </c>
      <c r="Q66" s="216" t="str">
        <f t="shared" si="39"/>
        <v/>
      </c>
      <c r="R66" s="210" t="str">
        <f t="shared" si="4"/>
        <v/>
      </c>
      <c r="S66" s="215" t="str">
        <f t="shared" si="40"/>
        <v/>
      </c>
      <c r="T66" s="216" t="str">
        <f t="shared" si="40"/>
        <v/>
      </c>
      <c r="U66" s="210" t="str">
        <f t="shared" si="6"/>
        <v/>
      </c>
      <c r="V66" s="215" t="str">
        <f t="shared" si="41"/>
        <v/>
      </c>
      <c r="W66" s="216" t="str">
        <f t="shared" si="41"/>
        <v/>
      </c>
      <c r="X66" s="210" t="str">
        <f t="shared" si="8"/>
        <v/>
      </c>
      <c r="Y66" s="215" t="str">
        <f t="shared" si="42"/>
        <v/>
      </c>
      <c r="Z66" s="216" t="str">
        <f t="shared" si="42"/>
        <v/>
      </c>
      <c r="AA66" s="210" t="str">
        <f t="shared" si="10"/>
        <v/>
      </c>
      <c r="AB66" s="215" t="str">
        <f t="shared" si="43"/>
        <v/>
      </c>
      <c r="AC66" s="216" t="str">
        <f t="shared" si="43"/>
        <v/>
      </c>
      <c r="AD66" s="210" t="str">
        <f t="shared" si="12"/>
        <v/>
      </c>
      <c r="AE66" s="215" t="str">
        <f t="shared" ref="AE66:AF66" si="61">IF(ISBLANK(AE33),"",VALUE(AE33))</f>
        <v/>
      </c>
      <c r="AF66" s="216" t="str">
        <f t="shared" si="61"/>
        <v/>
      </c>
      <c r="AG66" s="210" t="str">
        <f t="shared" si="14"/>
        <v/>
      </c>
      <c r="AH66" s="215" t="str">
        <f t="shared" si="45"/>
        <v/>
      </c>
      <c r="AI66" s="216" t="str">
        <f t="shared" si="45"/>
        <v/>
      </c>
      <c r="AJ66" s="210" t="str">
        <f t="shared" si="16"/>
        <v/>
      </c>
      <c r="AK66" s="215" t="str">
        <f t="shared" si="46"/>
        <v/>
      </c>
      <c r="AL66" s="216" t="str">
        <f t="shared" si="46"/>
        <v/>
      </c>
      <c r="AM66" s="210" t="str">
        <f t="shared" si="18"/>
        <v/>
      </c>
      <c r="AN66" s="215" t="str">
        <f t="shared" si="47"/>
        <v/>
      </c>
      <c r="AO66" s="216" t="str">
        <f t="shared" si="47"/>
        <v/>
      </c>
      <c r="AP66" s="210" t="str">
        <f t="shared" si="20"/>
        <v/>
      </c>
      <c r="AQ66" s="232" t="str">
        <f t="shared" si="50"/>
        <v/>
      </c>
      <c r="AR66" s="232" t="str">
        <f t="shared" si="50"/>
        <v/>
      </c>
    </row>
    <row r="67" spans="1:44" s="229" customFormat="1" ht="31" customHeight="1" thickBot="1" x14ac:dyDescent="0.4">
      <c r="A67" s="233" t="str">
        <f t="shared" si="38"/>
        <v/>
      </c>
      <c r="B67" s="222" t="str">
        <f t="shared" si="38"/>
        <v/>
      </c>
      <c r="C67" s="220" t="str">
        <f t="shared" si="48"/>
        <v/>
      </c>
      <c r="D67" s="220" t="str">
        <f t="shared" si="48"/>
        <v/>
      </c>
      <c r="E67" s="220" t="str">
        <f t="shared" si="48"/>
        <v/>
      </c>
      <c r="F67" s="220" t="str">
        <f t="shared" si="48"/>
        <v/>
      </c>
      <c r="G67" s="220" t="str">
        <f t="shared" si="48"/>
        <v/>
      </c>
      <c r="H67" s="220" t="str">
        <f t="shared" si="48"/>
        <v/>
      </c>
      <c r="I67" s="219" t="str">
        <f t="shared" si="48"/>
        <v/>
      </c>
      <c r="J67" s="221" t="str">
        <f t="shared" si="48"/>
        <v/>
      </c>
      <c r="K67" s="222" t="str">
        <f t="shared" si="2"/>
        <v/>
      </c>
      <c r="L67" s="219" t="str">
        <f t="shared" si="48"/>
        <v/>
      </c>
      <c r="M67" s="222" t="str">
        <f>IF(ISBLANK(M34),"",VALUE(M34))</f>
        <v/>
      </c>
      <c r="N67" s="222" t="str">
        <f>IF(ISBLANK(N34),"",VALUE(N34))</f>
        <v/>
      </c>
      <c r="O67" s="222" t="str">
        <f t="shared" si="39"/>
        <v/>
      </c>
      <c r="P67" s="234" t="str">
        <f t="shared" si="39"/>
        <v/>
      </c>
      <c r="Q67" s="235" t="str">
        <f t="shared" si="39"/>
        <v/>
      </c>
      <c r="R67" s="223" t="str">
        <f t="shared" si="4"/>
        <v/>
      </c>
      <c r="S67" s="234" t="str">
        <f t="shared" si="40"/>
        <v/>
      </c>
      <c r="T67" s="235" t="str">
        <f t="shared" si="40"/>
        <v/>
      </c>
      <c r="U67" s="223" t="str">
        <f t="shared" si="6"/>
        <v/>
      </c>
      <c r="V67" s="234" t="str">
        <f t="shared" si="41"/>
        <v/>
      </c>
      <c r="W67" s="235" t="str">
        <f t="shared" si="41"/>
        <v/>
      </c>
      <c r="X67" s="223" t="str">
        <f t="shared" si="8"/>
        <v/>
      </c>
      <c r="Y67" s="234" t="str">
        <f t="shared" si="42"/>
        <v/>
      </c>
      <c r="Z67" s="235" t="str">
        <f t="shared" si="42"/>
        <v/>
      </c>
      <c r="AA67" s="223" t="str">
        <f t="shared" si="10"/>
        <v/>
      </c>
      <c r="AB67" s="234" t="str">
        <f t="shared" si="43"/>
        <v/>
      </c>
      <c r="AC67" s="235" t="str">
        <f t="shared" si="43"/>
        <v/>
      </c>
      <c r="AD67" s="223" t="str">
        <f t="shared" si="12"/>
        <v/>
      </c>
      <c r="AE67" s="234" t="str">
        <f t="shared" ref="AE67:AF67" si="62">IF(ISBLANK(AE34),"",VALUE(AE34))</f>
        <v/>
      </c>
      <c r="AF67" s="235" t="str">
        <f t="shared" si="62"/>
        <v/>
      </c>
      <c r="AG67" s="223" t="str">
        <f t="shared" si="14"/>
        <v/>
      </c>
      <c r="AH67" s="234" t="str">
        <f t="shared" si="45"/>
        <v/>
      </c>
      <c r="AI67" s="235" t="str">
        <f t="shared" si="45"/>
        <v/>
      </c>
      <c r="AJ67" s="223" t="str">
        <f t="shared" si="16"/>
        <v/>
      </c>
      <c r="AK67" s="234" t="str">
        <f t="shared" si="46"/>
        <v/>
      </c>
      <c r="AL67" s="235" t="str">
        <f t="shared" si="46"/>
        <v/>
      </c>
      <c r="AM67" s="223" t="str">
        <f t="shared" si="18"/>
        <v/>
      </c>
      <c r="AN67" s="234" t="str">
        <f t="shared" si="47"/>
        <v/>
      </c>
      <c r="AO67" s="235" t="str">
        <f t="shared" si="47"/>
        <v/>
      </c>
      <c r="AP67" s="223" t="str">
        <f t="shared" si="20"/>
        <v/>
      </c>
      <c r="AQ67" s="236" t="str">
        <f t="shared" si="50"/>
        <v/>
      </c>
      <c r="AR67" s="236" t="str">
        <f t="shared" si="50"/>
        <v/>
      </c>
    </row>
    <row r="68" spans="1:44" s="229" customFormat="1" ht="31" customHeight="1" x14ac:dyDescent="0.35">
      <c r="A68" s="237"/>
      <c r="B68" s="237"/>
      <c r="C68" s="237"/>
      <c r="D68" s="237"/>
      <c r="E68" s="237"/>
      <c r="F68" s="237"/>
      <c r="G68" s="237"/>
      <c r="H68" s="237"/>
      <c r="I68" s="237"/>
      <c r="J68" s="238" t="s">
        <v>46</v>
      </c>
      <c r="K68" s="239" t="str">
        <f>IF(K38="", "n/a",AVERAGE(K38:K67))</f>
        <v>n/a</v>
      </c>
      <c r="L68" s="238"/>
      <c r="M68" s="239" t="str">
        <f>IF(M38="", "n/a",AVERAGE(M38:M67))</f>
        <v>n/a</v>
      </c>
      <c r="N68" s="239" t="str">
        <f>IF(N38="", "n/a",AVERAGE(N38:N67))</f>
        <v>n/a</v>
      </c>
      <c r="O68" s="239" t="str">
        <f>IF(O38="", "n/a",AVERAGE(O38:O67))</f>
        <v>n/a</v>
      </c>
      <c r="P68" s="238"/>
      <c r="Q68" s="240"/>
      <c r="R68" s="241" t="str">
        <f>IF(R38="","n/a",AVERAGE(R38:R67))</f>
        <v>n/a</v>
      </c>
      <c r="S68" s="242"/>
      <c r="T68" s="238"/>
      <c r="U68" s="241" t="str">
        <f>IF(U38="","n/a",AVERAGE(U38:U67))</f>
        <v>n/a</v>
      </c>
      <c r="V68" s="240"/>
      <c r="W68" s="240"/>
      <c r="X68" s="241" t="str">
        <f>IF(X38="","n/a",AVERAGE(X38:X67))</f>
        <v>n/a</v>
      </c>
      <c r="Y68" s="240"/>
      <c r="Z68" s="240"/>
      <c r="AA68" s="241" t="str">
        <f>IF(AA38="","n/a",AVERAGE(AA38:AA67))</f>
        <v>n/a</v>
      </c>
      <c r="AB68" s="241"/>
      <c r="AC68" s="240"/>
      <c r="AD68" s="241" t="str">
        <f>IF(AD38="","n/a",AVERAGE(AD38:AD67))</f>
        <v>n/a</v>
      </c>
      <c r="AE68" s="241"/>
      <c r="AF68" s="240"/>
      <c r="AG68" s="241" t="str">
        <f>IF(AG38="","n/a",AVERAGE(AG38:AG67))</f>
        <v>n/a</v>
      </c>
      <c r="AH68" s="240"/>
      <c r="AI68" s="240"/>
      <c r="AJ68" s="241" t="str">
        <f>IF(AJ38="","n/a",AVERAGE(AJ38:AJ67))</f>
        <v>n/a</v>
      </c>
      <c r="AK68" s="240"/>
      <c r="AL68" s="243"/>
      <c r="AM68" s="241" t="str">
        <f>IF(AM38="","n/a",AVERAGE(AM38:AM67))</f>
        <v>n/a</v>
      </c>
      <c r="AN68" s="240"/>
      <c r="AO68" s="240"/>
      <c r="AP68" s="241" t="str">
        <f>IF(AP38="","n/a",AVERAGE(AP38:AP67))</f>
        <v>n/a</v>
      </c>
      <c r="AQ68" s="244" t="str">
        <f>AQ38</f>
        <v/>
      </c>
      <c r="AR68" s="244" t="str">
        <f>AR38</f>
        <v/>
      </c>
    </row>
    <row r="69" spans="1:44" s="229" customFormat="1" ht="31" customHeight="1" x14ac:dyDescent="0.35">
      <c r="A69" s="237"/>
      <c r="B69" s="237"/>
      <c r="C69" s="237"/>
      <c r="D69" s="237"/>
      <c r="E69" s="237"/>
      <c r="F69" s="237"/>
      <c r="G69" s="237"/>
      <c r="I69" s="237"/>
      <c r="J69" s="245" t="s">
        <v>47</v>
      </c>
      <c r="K69" s="246" t="str">
        <f>IF(K38="","n/a",STDEV(K38:K67))</f>
        <v>n/a</v>
      </c>
      <c r="M69" s="246" t="str">
        <f>IF(M38="","n/a",STDEV(M38:M67))</f>
        <v>n/a</v>
      </c>
      <c r="N69" s="246" t="str">
        <f>IF(N38="","n/a",STDEV(N38:N67))</f>
        <v>n/a</v>
      </c>
      <c r="O69" s="246" t="str">
        <f>IF(O38="","n/a",STDEV(O38:O67))</f>
        <v>n/a</v>
      </c>
      <c r="R69" s="247" t="str">
        <f>IF(R38="","n/a",STDEV(R38:R67))</f>
        <v>n/a</v>
      </c>
      <c r="S69" s="237"/>
      <c r="T69" s="237"/>
      <c r="U69" s="247" t="str">
        <f>IF(U38="","n/a",STDEV(U38:U67))</f>
        <v>n/a</v>
      </c>
      <c r="X69" s="247" t="str">
        <f>IF(X38="","n/a",STDEV(X38:X67))</f>
        <v>n/a</v>
      </c>
      <c r="AA69" s="247" t="str">
        <f>IF(AA38="","n/a",STDEV(AA38:AA67))</f>
        <v>n/a</v>
      </c>
      <c r="AD69" s="247" t="str">
        <f>IF(AD68="n/a","n/a",STDEV(AD38:AD67))</f>
        <v>n/a</v>
      </c>
      <c r="AG69" s="247" t="str">
        <f>IF(AG68="n/a","n/a",STDEV(AG38:AG67))</f>
        <v>n/a</v>
      </c>
      <c r="AJ69" s="247" t="str">
        <f>IF(AJ38="","n/a",STDEV(AJ38:AJ67))</f>
        <v>n/a</v>
      </c>
      <c r="AM69" s="247" t="str">
        <f>IF(AM38="","n/a",STDEV(AM38:AM67))</f>
        <v>n/a</v>
      </c>
      <c r="AP69" s="247" t="str">
        <f>IF(AP38="","n/a",STDEV(AP38:AP67))</f>
        <v>n/a</v>
      </c>
    </row>
    <row r="70" spans="1:44" s="229" customFormat="1" ht="31" customHeight="1" x14ac:dyDescent="0.35">
      <c r="A70" s="237"/>
      <c r="B70" s="237"/>
      <c r="C70" s="237"/>
      <c r="D70" s="237"/>
      <c r="E70" s="237"/>
      <c r="F70" s="237"/>
      <c r="G70" s="237"/>
      <c r="I70" s="237"/>
      <c r="J70" s="245"/>
      <c r="K70" s="246"/>
      <c r="M70" s="246"/>
      <c r="N70" s="246"/>
      <c r="Q70" s="247"/>
      <c r="R70" s="237"/>
      <c r="S70" s="237"/>
    </row>
    <row r="71" spans="1:44" s="229" customFormat="1" ht="31" customHeight="1" x14ac:dyDescent="0.35">
      <c r="A71" s="237"/>
      <c r="B71" s="237"/>
      <c r="C71" s="237"/>
      <c r="D71" s="237"/>
      <c r="E71" s="237"/>
      <c r="F71" s="237"/>
      <c r="G71" s="237"/>
      <c r="H71" s="248"/>
      <c r="I71" s="237"/>
      <c r="K71" s="249"/>
      <c r="M71" s="248" t="s">
        <v>48</v>
      </c>
      <c r="Q71" s="237"/>
      <c r="R71" s="237"/>
      <c r="S71" s="237"/>
      <c r="T71" s="237"/>
      <c r="W71" s="237"/>
      <c r="Z71" s="237"/>
      <c r="AB71" s="250"/>
      <c r="AC71" s="237"/>
      <c r="AE71" s="250"/>
      <c r="AF71" s="237"/>
      <c r="AI71" s="237"/>
      <c r="AO71" s="248" t="s">
        <v>49</v>
      </c>
      <c r="AP71" s="237"/>
    </row>
    <row r="72" spans="1:44" s="229" customFormat="1" ht="31" customHeight="1" x14ac:dyDescent="0.35">
      <c r="A72" s="237"/>
      <c r="B72" s="237"/>
      <c r="C72" s="237"/>
      <c r="D72" s="237"/>
      <c r="E72" s="237"/>
      <c r="F72" s="237"/>
      <c r="G72" s="237"/>
      <c r="H72" s="245"/>
      <c r="I72" s="237"/>
      <c r="K72" s="249"/>
      <c r="Q72" s="247"/>
      <c r="R72" s="251"/>
      <c r="S72" s="237"/>
      <c r="T72" s="247"/>
      <c r="W72" s="247"/>
      <c r="Z72" s="247"/>
      <c r="AB72" s="250"/>
      <c r="AC72" s="247"/>
      <c r="AE72" s="250"/>
      <c r="AF72" s="247"/>
      <c r="AI72" s="247"/>
      <c r="AL72" s="247"/>
      <c r="AO72" s="252" t="s">
        <v>50</v>
      </c>
      <c r="AP72" s="247"/>
    </row>
    <row r="73" spans="1:44" s="229" customFormat="1" ht="31" customHeight="1" x14ac:dyDescent="0.35">
      <c r="K73" s="249"/>
      <c r="N73" s="250" t="s">
        <v>51</v>
      </c>
      <c r="O73" s="240">
        <v>0.111</v>
      </c>
      <c r="P73" s="253" t="s">
        <v>52</v>
      </c>
      <c r="Q73" s="237" t="str">
        <f>IF(R68="n/a",R68,IF(R68 &lt; O73, "YES", "NO"))</f>
        <v>n/a</v>
      </c>
      <c r="R73" s="242"/>
      <c r="S73" s="244"/>
      <c r="T73" s="237" t="str">
        <f>IF(U68="n/a",U68,IF(U68 &lt; O73, "YES", "NO"))</f>
        <v>n/a</v>
      </c>
      <c r="W73" s="237" t="str">
        <f>IF(X68="n/a",X68,IF(X68 &lt; O73, "YES", "NO"))</f>
        <v>n/a</v>
      </c>
      <c r="Z73" s="237" t="str">
        <f>IF(AA68="n/a",AA68,IF(AA68 &lt; O73, "YES", "NO"))</f>
        <v>n/a</v>
      </c>
      <c r="AC73" s="237" t="str">
        <f>IF(AD68="n/a",AD68,IF(AD68 &lt; O73, "YES", "NO"))</f>
        <v>n/a</v>
      </c>
      <c r="AF73" s="237" t="str">
        <f>IF(AG68="n/a",AG68,IF(AG68 &lt; R73, "YES", "NO"))</f>
        <v>n/a</v>
      </c>
      <c r="AI73" s="237" t="str">
        <f>IF(AJ68="n/a",AJ68,IF(AJ68 &lt; O73, "YES", "NO"))</f>
        <v>n/a</v>
      </c>
      <c r="AL73" s="237" t="str">
        <f>IF(AM68="n/a",AM68,IF(AM68 &lt; O73, "YES", "NO"))</f>
        <v>n/a</v>
      </c>
      <c r="AO73" s="250" t="s">
        <v>51</v>
      </c>
      <c r="AP73" s="254" t="s">
        <v>53</v>
      </c>
      <c r="AQ73" s="253" t="s">
        <v>52</v>
      </c>
      <c r="AR73" s="237" t="str">
        <f>IF(OR(B5&gt;2021, AP68="n/a"),"n/a",IF(AQ68&gt;2,IF(AP68&lt;0.099,"YES","NO"),IF(AP68&lt;0.033,"YES","NO")))</f>
        <v>n/a</v>
      </c>
    </row>
    <row r="74" spans="1:44" s="229" customFormat="1" ht="31" customHeight="1" x14ac:dyDescent="0.35">
      <c r="A74" s="255"/>
      <c r="B74" s="255"/>
      <c r="K74" s="249"/>
      <c r="N74" s="250" t="s">
        <v>54</v>
      </c>
      <c r="O74" s="240">
        <v>0.111</v>
      </c>
      <c r="P74" s="253" t="s">
        <v>52</v>
      </c>
      <c r="Q74" s="237" t="str">
        <f>IF(R68="n/a",R68,IF((COUNTIF(R38:R67,"&lt;" &amp; O74)/COUNT(R38:R67)) &lt; 0.66, "NO", "YES"))</f>
        <v>n/a</v>
      </c>
      <c r="T74" s="237" t="str">
        <f>IF(U68="n/a",U68,IF((COUNTIF(U38:U67,"&lt;" &amp; O74)/COUNT(U38:U67)) &lt; 0.66, "NO", "YES"))</f>
        <v>n/a</v>
      </c>
      <c r="W74" s="237" t="str">
        <f>IF(X68="n/a",X68,IF((COUNTIF(X38:X67,"&lt;" &amp; O74)/COUNT(X38:X67)) &lt; 0.66, "NO", "YES"))</f>
        <v>n/a</v>
      </c>
      <c r="Z74" s="237" t="str">
        <f>IF(AA68="n/a",AA68,IF((COUNTIF(AA38:AA67,"&lt;" &amp; O74)/COUNT(AA38:AA67)) &lt; 0.66, "NO", "YES"))</f>
        <v>n/a</v>
      </c>
      <c r="AC74" s="237" t="str">
        <f>IF(AD68="n/a",AD68,IF((COUNTIF(AD38:AD67,"&lt;" &amp; O74)/COUNT(AD38:AD67)) &lt; 0.66, "NO", "YES"))</f>
        <v>n/a</v>
      </c>
      <c r="AF74" s="237" t="str">
        <f>IF(AG68="n/a",AG68,IF((COUNTIF(AG38:AG67,"&lt;" &amp; R74)/COUNT(AG38:AG67)) &lt; 0.66, "NO", "YES"))</f>
        <v>n/a</v>
      </c>
      <c r="AI74" s="237" t="str">
        <f>IF(AJ68="n/a",AJ68,IF((COUNTIF(AJ38:AJ67,"&lt;" &amp; O74)/COUNT(AJ38:AJ67)) &lt; 0.66, "NO", "YES"))</f>
        <v>n/a</v>
      </c>
      <c r="AL74" s="237" t="str">
        <f>IF(AM68="n/a",AM68,IF((COUNTIF(AM38:AM67,"&lt;" &amp; O74)/COUNT(AM38:AM67)) &lt; 0.66, "NO", "YES"))</f>
        <v>n/a</v>
      </c>
      <c r="AO74" s="250" t="s">
        <v>54</v>
      </c>
      <c r="AP74" s="254" t="s">
        <v>53</v>
      </c>
      <c r="AQ74" s="253" t="s">
        <v>52</v>
      </c>
      <c r="AR74" s="237" t="str">
        <f>IF(OR(B5&gt;2021, AP68="n/a"),"n/a",IF(AQ68&gt;2,IF(COUNTIF(AP38:AP67,"&lt;"&amp;0.099)/COUNT(AP38:AP67)&lt;0.66,"NO","YES"),IF(COUNTIF(AP38:AP67,"&lt;"&amp;0.033)/COUNT(AP38:AP67)&lt;0.66,"NO","YES")))</f>
        <v>n/a</v>
      </c>
    </row>
    <row r="75" spans="1:44" s="229" customFormat="1" ht="31" customHeight="1" x14ac:dyDescent="0.35">
      <c r="A75" s="237"/>
      <c r="B75" s="237"/>
      <c r="K75" s="247"/>
      <c r="L75" s="256"/>
      <c r="N75" s="250" t="s">
        <v>55</v>
      </c>
      <c r="O75" s="240">
        <v>0.111</v>
      </c>
      <c r="P75" s="253" t="s">
        <v>52</v>
      </c>
      <c r="Q75" s="1" t="str">
        <f>IF(R68="n/a",R68,COUNTIF(R38:R67,"&lt;" &amp; O75)/COUNT(R38:R67))</f>
        <v>n/a</v>
      </c>
      <c r="T75" s="1" t="str">
        <f>IF(U68="n/a",U68,COUNTIF(U38:U67,"&lt;" &amp; O75)/COUNT(U38:U67))</f>
        <v>n/a</v>
      </c>
      <c r="W75" s="1" t="str">
        <f>IF(X68="n/a",X68,COUNTIF(X38:X67,"&lt;" &amp; O75)/COUNT(X38:X67))</f>
        <v>n/a</v>
      </c>
      <c r="Z75" s="1" t="str">
        <f>IF(AA68="n/a",AA68,COUNTIF(AA38:AA67,"&lt;" &amp; O75)/COUNT(AA38:AA67))</f>
        <v>n/a</v>
      </c>
      <c r="AC75" s="1" t="str">
        <f>IF(AD68="n/a",AD68,COUNTIF(AD38:AD67,"&lt;" &amp; O75)/COUNT(AD38:AD67))</f>
        <v>n/a</v>
      </c>
      <c r="AF75" s="1" t="str">
        <f>IF(AG68="n/a",AG68,COUNTIF(AG38:AG67,"&lt;" &amp; R75)/COUNT(AG38:AG67))</f>
        <v>n/a</v>
      </c>
      <c r="AI75" s="1" t="str">
        <f>IF(AJ68="n/a",AJ68,COUNTIF(AJ38:AJ67,"&lt;" &amp; O75)/COUNT(AJ38:AJ67))</f>
        <v>n/a</v>
      </c>
      <c r="AL75" s="1" t="str">
        <f>IF(AM68="n/a",AM68,COUNTIF(AM38:AM67,"&lt;" &amp; O75)/COUNT(AM38:AM67))</f>
        <v>n/a</v>
      </c>
      <c r="AO75" s="250" t="s">
        <v>55</v>
      </c>
      <c r="AP75" s="254" t="s">
        <v>53</v>
      </c>
      <c r="AQ75" s="253" t="s">
        <v>52</v>
      </c>
      <c r="AR75" s="1" t="str">
        <f>IF(OR(B5&gt;2021,AP68="n/a"),"n/a",IF(AQ68&gt;2,COUNTIF(AP38:AP67,"&lt;"&amp;0.099)/COUNT(AP38:AP67),COUNTIF(AP38:AP67,"&lt;"&amp;0.033)/COUNT(AP38:AP67)))</f>
        <v>n/a</v>
      </c>
    </row>
    <row r="76" spans="1:44" s="229" customFormat="1" ht="31" customHeight="1" x14ac:dyDescent="0.35">
      <c r="A76" s="237"/>
      <c r="B76" s="237"/>
      <c r="K76" s="247"/>
      <c r="L76" s="256"/>
      <c r="N76" s="250"/>
      <c r="O76" s="240"/>
      <c r="P76" s="253"/>
      <c r="Q76" s="1"/>
      <c r="T76" s="1"/>
      <c r="W76" s="1"/>
      <c r="Z76" s="1"/>
      <c r="AC76" s="1"/>
      <c r="AF76" s="1"/>
      <c r="AI76" s="1"/>
      <c r="AL76" s="1"/>
      <c r="AN76" s="237"/>
      <c r="AO76" s="1"/>
    </row>
    <row r="77" spans="1:44" s="229" customFormat="1" ht="31" customHeight="1" x14ac:dyDescent="0.35">
      <c r="A77" s="237"/>
      <c r="B77" s="237"/>
      <c r="K77" s="256"/>
      <c r="M77" s="248" t="s">
        <v>56</v>
      </c>
      <c r="Q77" s="237"/>
      <c r="T77" s="237"/>
      <c r="W77" s="237"/>
      <c r="Z77" s="237"/>
      <c r="AB77" s="250"/>
      <c r="AC77" s="237"/>
      <c r="AE77" s="250"/>
      <c r="AF77" s="237"/>
      <c r="AI77" s="237"/>
      <c r="AL77" s="237"/>
      <c r="AN77" s="237"/>
      <c r="AO77" s="252" t="s">
        <v>57</v>
      </c>
      <c r="AP77" s="247"/>
    </row>
    <row r="78" spans="1:44" s="229" customFormat="1" ht="31" customHeight="1" x14ac:dyDescent="0.35">
      <c r="A78" s="237"/>
      <c r="B78" s="237"/>
      <c r="K78" s="249"/>
      <c r="Q78" s="247"/>
      <c r="T78" s="247"/>
      <c r="W78" s="247"/>
      <c r="Z78" s="247"/>
      <c r="AB78" s="250"/>
      <c r="AC78" s="247"/>
      <c r="AE78" s="250"/>
      <c r="AF78" s="247"/>
      <c r="AI78" s="247"/>
      <c r="AL78" s="247"/>
      <c r="AN78" s="1"/>
      <c r="AO78" s="250" t="s">
        <v>51</v>
      </c>
      <c r="AP78" s="254" t="s">
        <v>58</v>
      </c>
      <c r="AQ78" s="253" t="s">
        <v>52</v>
      </c>
      <c r="AR78" s="237" t="str">
        <f>IF(OR(B5&gt;2025, B5&lt;2022, AP68="n/a"),"n/a",IF(AQ68&gt;2,IF(AP68&lt;0.099,"YES","NO"),IF(AP68&lt;0.05,"YES","NO")))</f>
        <v>n/a</v>
      </c>
    </row>
    <row r="79" spans="1:44" s="229" customFormat="1" ht="31" customHeight="1" x14ac:dyDescent="0.35">
      <c r="A79" s="237"/>
      <c r="B79" s="237"/>
      <c r="K79" s="249"/>
      <c r="Q79" s="247"/>
      <c r="T79" s="247"/>
      <c r="W79" s="247"/>
      <c r="Z79" s="247"/>
      <c r="AB79" s="250"/>
      <c r="AC79" s="247"/>
      <c r="AE79" s="250"/>
      <c r="AF79" s="247"/>
      <c r="AI79" s="247"/>
      <c r="AL79" s="247"/>
      <c r="AO79" s="250" t="s">
        <v>54</v>
      </c>
      <c r="AP79" s="254" t="s">
        <v>58</v>
      </c>
      <c r="AQ79" s="253" t="s">
        <v>52</v>
      </c>
      <c r="AR79" s="237" t="str">
        <f>IF(OR(B5&gt;2025, B5&lt;2022, AP68="n/a"),"n/a",IF(AQ68&gt;2,IF(COUNTIF(AP38:AP67,"&lt;"&amp;0.099)/COUNT(AP38:AP67)&lt;0.66,"NO","YES"),IF(COUNTIF(AP38:AP67,"&lt;"&amp;0.05)/COUNT(AP38:AP67)&lt;0.66,"NO","YES")))</f>
        <v>n/a</v>
      </c>
    </row>
    <row r="80" spans="1:44" s="229" customFormat="1" ht="31" customHeight="1" x14ac:dyDescent="0.35">
      <c r="A80" s="237"/>
      <c r="B80" s="237"/>
      <c r="N80" s="250" t="s">
        <v>51</v>
      </c>
      <c r="O80" s="257">
        <v>0.29699999999999999</v>
      </c>
      <c r="P80" s="253" t="s">
        <v>52</v>
      </c>
      <c r="Q80" s="237" t="str">
        <f>IF($B$38&lt;2013,"n/a",IF(R68="n/a",R68,IF(R68 &lt; O80, "YES", "NO")))</f>
        <v>n/a</v>
      </c>
      <c r="T80" s="237" t="str">
        <f>IF($B$38&lt;2013,"n/a",IF(U68="n/a",U68,IF(U68 &lt; O80, "YES", "NO")))</f>
        <v>n/a</v>
      </c>
      <c r="W80" s="237" t="str">
        <f>IF($B$38&lt;2013,"n/a",IF(X68="n/a",X68,IF(X68 &lt; O80, "YES", "NO")))</f>
        <v>n/a</v>
      </c>
      <c r="Z80" s="237" t="str">
        <f>IF($B$38&lt;2013,"n/a",IF(AA68="n/a",AA68,IF(AA68 &lt; O80, "YES", "NO")))</f>
        <v>n/a</v>
      </c>
      <c r="AC80" s="237" t="str">
        <f>IF($B$38&lt;2013,"n/a",IF(AD68="n/a",AD68,IF(AD68 &lt; O80, "YES", "NO")))</f>
        <v>n/a</v>
      </c>
      <c r="AF80" s="237" t="str">
        <f>IF($B$38&lt;2013,"n/a",IF(AG68="n/a",AG68,IF(AG68 &lt; R80, "YES", "NO")))</f>
        <v>n/a</v>
      </c>
      <c r="AI80" s="237" t="str">
        <f>IF($B$38&lt;2013,"n/a",IF(AJ68="n/a",AJ68,IF(AJ68 &lt; O80, "YES", "NO")))</f>
        <v>n/a</v>
      </c>
      <c r="AL80" s="237" t="str">
        <f>IF($B$38&lt;2013,"n/a",IF(AM68="n/a",AM68,IF(AM68 &lt; O80, "YES", "NO")))</f>
        <v>n/a</v>
      </c>
      <c r="AN80" s="247"/>
      <c r="AO80" s="250" t="s">
        <v>55</v>
      </c>
      <c r="AP80" s="254" t="s">
        <v>58</v>
      </c>
      <c r="AQ80" s="253" t="s">
        <v>52</v>
      </c>
      <c r="AR80" s="1" t="str">
        <f>IF(OR(B5&gt;2025, B5&lt;2022, AP68="n/a"),"n/a",IF(AQ68&gt;2,COUNTIF(AP38:AP67,"&lt;"&amp;0.099)/COUNT(AP38:AP67),COUNTIF(AP38:AP67,"&lt;"&amp;0.05)/COUNT(AP38:AP67)))</f>
        <v>n/a</v>
      </c>
    </row>
    <row r="81" spans="1:44" s="229" customFormat="1" ht="31" customHeight="1" x14ac:dyDescent="0.35">
      <c r="A81" s="237"/>
      <c r="B81" s="237"/>
      <c r="K81" s="249"/>
      <c r="N81" s="250" t="s">
        <v>54</v>
      </c>
      <c r="O81" s="257">
        <v>0.33600000000000002</v>
      </c>
      <c r="P81" s="253" t="s">
        <v>52</v>
      </c>
      <c r="Q81" s="237" t="str">
        <f>IF($B$38&lt;2013,"n/a",IF(R68="n/a",R68,IF((COUNTIF(R38:R67,"&lt;" &amp; O81)/COUNT(R38:R67)) &lt; 0.66, "NO", "YES")))</f>
        <v>n/a</v>
      </c>
      <c r="T81" s="237" t="str">
        <f>IF($B$38&lt;2013,"n/a",IF(U68="n/a",U68,IF((COUNTIF(U38:U67,"&lt;" &amp; O81)/COUNT(U38:U67)) &lt; 0.66, "NO", "YES")))</f>
        <v>n/a</v>
      </c>
      <c r="W81" s="237" t="str">
        <f>IF($B$38&lt;2013,"n/a",IF(X68="n/a",X68,IF((COUNTIF(X38:X67,"&lt;" &amp; O81)/COUNT(X38:X67)) &lt; 0.66, "NO", "YES")))</f>
        <v>n/a</v>
      </c>
      <c r="Z81" s="237" t="str">
        <f>IF($B$38&lt;2013,"n/a",IF(AA68="n/a",AA68,IF((COUNTIF(AA38:AA67,"&lt;" &amp; O81)/COUNT(AA38:AA67)) &lt; 0.66, "NO", "YES")))</f>
        <v>n/a</v>
      </c>
      <c r="AC81" s="237" t="str">
        <f>IF($B$38&lt;2013,"n/a",IF(AD68="n/a",AD68,IF((COUNTIF(AD38:AD67,"&lt;" &amp; O81)/COUNT(AD38:AD67)) &lt; 0.66, "NO", "YES")))</f>
        <v>n/a</v>
      </c>
      <c r="AF81" s="237" t="str">
        <f>IF($B$38&lt;2013,"n/a",IF(AG68="n/a",AG68,IF((COUNTIF(AG38:AG67,"&lt;" &amp; R81)/COUNT(AG38:AG67)) &lt; 0.66, "NO", "YES")))</f>
        <v>n/a</v>
      </c>
      <c r="AI81" s="237" t="str">
        <f>IF($B$38&lt;2013,"n/a",IF(AJ68="n/a",AJ68,IF((COUNTIF(AJ38:AJ67,"&lt;" &amp; O81)/COUNT(AJ38:AJ67)) &lt; 0.66, "NO", "YES")))</f>
        <v>n/a</v>
      </c>
      <c r="AL81" s="237" t="str">
        <f>IF($B$38&lt;2013,"n/a",IF(AM68="n/a",AM68,IF((COUNTIF(AM38:AM67,"&lt;" &amp; O81)/COUNT(AM38:AM67)) &lt; 0.66, "NO", "YES")))</f>
        <v>n/a</v>
      </c>
      <c r="AN81" s="247"/>
    </row>
    <row r="82" spans="1:44" s="229" customFormat="1" ht="31" customHeight="1" x14ac:dyDescent="0.35">
      <c r="A82" s="237"/>
      <c r="B82" s="237"/>
      <c r="K82" s="249"/>
      <c r="N82" s="250" t="s">
        <v>55</v>
      </c>
      <c r="O82" s="257">
        <v>0.33600000000000002</v>
      </c>
      <c r="P82" s="253" t="s">
        <v>52</v>
      </c>
      <c r="Q82" s="1" t="str">
        <f>IF($B$38&lt;2013,"n/a",IF(R68="n/a",R68,COUNTIF(R38:R67,"&lt;" &amp; O82)/COUNT(R38:R67)))</f>
        <v>n/a</v>
      </c>
      <c r="T82" s="1" t="str">
        <f>IF($B$38&lt;2013,"n/a",IF(U68="n/a",U68,COUNTIF(U38:U67,"&lt;" &amp; O82)/COUNT(U38:U67)))</f>
        <v>n/a</v>
      </c>
      <c r="W82" s="1" t="str">
        <f>IF($B$38&lt;2013,"n/a",IF(X68="n/a",X68,COUNTIF(X38:X67,"&lt;" &amp; O82)/COUNT(X38:X67)))</f>
        <v>n/a</v>
      </c>
      <c r="Z82" s="1" t="str">
        <f>IF($B$38&lt;2013,"n/a",IF(AA68="n/a",AA68,COUNTIF(AA38:AA67,"&lt;" &amp; O82)/COUNT(AA38:AA67)))</f>
        <v>n/a</v>
      </c>
      <c r="AC82" s="1" t="str">
        <f>IF($B$38&lt;2013,"n/a",IF(AD68="n/a",AD68,COUNTIF(AD38:AD67,"&lt;" &amp; O82)/COUNT(AD38:AD67)))</f>
        <v>n/a</v>
      </c>
      <c r="AF82" s="1" t="str">
        <f>IF($B$38&lt;2013,"n/a",IF(AG68="n/a",AG68,COUNTIF(AG38:AG67,"&lt;" &amp; R82)/COUNT(AG38:AG67)))</f>
        <v>n/a</v>
      </c>
      <c r="AI82" s="1" t="str">
        <f>IF($B$38&lt;2013,"n/a",IF(AJ68="n/a",AJ68,COUNTIF(AJ38:AJ67,"&lt;" &amp; O82)/COUNT(AJ38:AJ67)))</f>
        <v>n/a</v>
      </c>
      <c r="AL82" s="1" t="str">
        <f>IF($B$38&lt;2013,"n/a",IF(AM68="n/a",AM68,COUNTIF(AM38:AM67,"&lt;" &amp; O82)/COUNT(AM38:AM67)))</f>
        <v>n/a</v>
      </c>
      <c r="AN82" s="237"/>
      <c r="AO82" s="252" t="s">
        <v>59</v>
      </c>
      <c r="AP82" s="247"/>
      <c r="AR82" s="237"/>
    </row>
    <row r="83" spans="1:44" s="229" customFormat="1" ht="31" customHeight="1" x14ac:dyDescent="0.35">
      <c r="A83" s="237"/>
      <c r="B83" s="237"/>
      <c r="K83" s="249"/>
      <c r="AO83" s="250" t="s">
        <v>51</v>
      </c>
      <c r="AP83" s="254" t="s">
        <v>60</v>
      </c>
      <c r="AQ83" s="253" t="s">
        <v>52</v>
      </c>
      <c r="AR83" s="217" t="str">
        <f>IF(OR(B5&gt;2028, B5&lt;2026, AP68="n/a"),"n/a",IF(AQ68&lt;&gt;2,IF(AR68&gt;1, IF(AP68&lt;0.05,"YES","NO"), IF(AP68&lt;0.111, "YES", "NO")), IF(AP68&lt;0.111,"YES","NO")))</f>
        <v>n/a</v>
      </c>
    </row>
    <row r="84" spans="1:44" s="229" customFormat="1" ht="31" customHeight="1" x14ac:dyDescent="0.35">
      <c r="A84" s="237"/>
      <c r="B84" s="237"/>
      <c r="K84" s="249"/>
      <c r="M84" s="248" t="s">
        <v>61</v>
      </c>
      <c r="Q84" s="247"/>
      <c r="T84" s="247"/>
      <c r="W84" s="247"/>
      <c r="Z84" s="247"/>
      <c r="AB84" s="250"/>
      <c r="AC84" s="237"/>
      <c r="AE84" s="250"/>
      <c r="AF84" s="237"/>
      <c r="AI84" s="247"/>
      <c r="AL84" s="247"/>
      <c r="AO84" s="250" t="s">
        <v>54</v>
      </c>
      <c r="AP84" s="254" t="s">
        <v>60</v>
      </c>
      <c r="AQ84" s="253" t="s">
        <v>52</v>
      </c>
      <c r="AR84" s="217" t="str">
        <f>IF(OR(B5&gt;2028,B5&lt;2026,AP68="n/a"),"n/a",IF(AQ68&lt;&gt;2,IF(AR68&gt;1,IF(COUNTIF(AP38:AP67,"&lt;"&amp;0.05)/COUNT(AP38:AP67)&lt;0.66,"NO","YES"),IF(COUNTIF(AP38:AP67,"&lt;"&amp;0.111)/COUNT(AP38:AP67)&lt;0.66,"NO","YES")),IF(COUNTIF(AP38:AP67,"&lt;"&amp;0.111)/COUNT(AP38:AP67)&lt;0.66,"NO","YES")))</f>
        <v>n/a</v>
      </c>
    </row>
    <row r="85" spans="1:44" s="229" customFormat="1" ht="31" customHeight="1" x14ac:dyDescent="0.35">
      <c r="A85" s="237"/>
      <c r="B85" s="237"/>
      <c r="K85" s="249"/>
      <c r="Q85" s="247"/>
      <c r="T85" s="247"/>
      <c r="W85" s="247"/>
      <c r="Z85" s="247"/>
      <c r="AI85" s="247"/>
      <c r="AL85" s="247"/>
      <c r="AO85" s="250" t="s">
        <v>55</v>
      </c>
      <c r="AP85" s="254" t="s">
        <v>60</v>
      </c>
      <c r="AQ85" s="253" t="s">
        <v>52</v>
      </c>
      <c r="AR85" s="258" t="str">
        <f>IF(OR(B5&gt;2028,B5&lt;2026,AP68="n/a"),"n/a",IF(AQ68&lt;&gt;2,IF(AR68&gt;1,COUNTIF(AP38:AP67,"&lt;"&amp;0.05)/COUNT(AP38:AP67),COUNTIF(AP38:AP67,"&lt;"&amp;0.111)/COUNT(AP38:AP67)),COUNTIF(AP38:AP67,"&lt;"&amp;0.111)/COUNT(AP38:AP67)))</f>
        <v>n/a</v>
      </c>
    </row>
    <row r="86" spans="1:44" s="229" customFormat="1" ht="31" customHeight="1" x14ac:dyDescent="0.35">
      <c r="A86" s="237"/>
      <c r="B86" s="237"/>
      <c r="N86" s="250" t="s">
        <v>51</v>
      </c>
      <c r="O86" s="257">
        <v>0.33600000000000002</v>
      </c>
      <c r="P86" s="253" t="s">
        <v>52</v>
      </c>
      <c r="Q86" s="237" t="str">
        <f>IF($B$38&lt;2013,"n/a",IF(R68="n/a",R68,IF(R68 &lt; O86, "YES", "NO")))</f>
        <v>n/a</v>
      </c>
      <c r="T86" s="237" t="str">
        <f>IF($B$38&lt;2013,"n/a",IF(U68="n/a",U68,IF(U68 &lt; O86, "YES", "NO")))</f>
        <v>n/a</v>
      </c>
      <c r="W86" s="237" t="str">
        <f>IF($B$38&lt;2013,"n/a",IF(X68="n/a",X68,IF(X68 &lt; O86, "YES", "NO")))</f>
        <v>n/a</v>
      </c>
      <c r="Z86" s="237" t="str">
        <f>IF($B$38&lt;2013,"n/a",IF(AA68="n/a",AA68,IF(AA68 &lt; O86, "YES", "NO")))</f>
        <v>n/a</v>
      </c>
      <c r="AC86" s="237" t="str">
        <f>IF($B$38&lt;2013,"n/a",IF(AD68="n/a",AD68,IF(AD68 &lt; O86, "YES", "NO")))</f>
        <v>n/a</v>
      </c>
      <c r="AF86" s="237" t="str">
        <f>IF($B$38&lt;2013,"n/a",IF(AG68="n/a",AG68,IF(AG68 &lt; R86, "YES", "NO")))</f>
        <v>n/a</v>
      </c>
      <c r="AI86" s="237" t="str">
        <f>IF($B$38&lt;2013,"n/a",IF(AJ68="n/a",AJ68,IF(AJ68 &lt; O86, "YES", "NO")))</f>
        <v>n/a</v>
      </c>
      <c r="AL86" s="237" t="str">
        <f>IF($B$38&lt;2013,"n/a",IF(AM68="n/a",AM68,IF(AM68 &lt; O86, "YES", "NO")))</f>
        <v>n/a</v>
      </c>
    </row>
    <row r="87" spans="1:44" s="229" customFormat="1" ht="31" customHeight="1" x14ac:dyDescent="0.35">
      <c r="A87" s="237"/>
      <c r="B87" s="237"/>
      <c r="K87" s="249"/>
      <c r="Q87" s="247"/>
      <c r="T87" s="247"/>
      <c r="W87" s="247"/>
      <c r="Z87" s="247"/>
      <c r="AC87" s="247"/>
      <c r="AF87" s="247"/>
      <c r="AI87" s="247"/>
      <c r="AL87" s="247"/>
      <c r="AO87" s="252" t="s">
        <v>62</v>
      </c>
      <c r="AP87" s="247"/>
    </row>
    <row r="88" spans="1:44" s="229" customFormat="1" ht="31" customHeight="1" x14ac:dyDescent="0.35">
      <c r="A88" s="237"/>
      <c r="B88" s="237"/>
      <c r="K88" s="249"/>
      <c r="AO88" s="250" t="s">
        <v>51</v>
      </c>
      <c r="AP88" s="254" t="s">
        <v>63</v>
      </c>
      <c r="AQ88" s="253" t="s">
        <v>52</v>
      </c>
      <c r="AR88" s="237" t="str">
        <f>IF(OR(B5&lt;2029, AP68="n/a"),"n/a",IF(AQ68&lt;&gt;2,IF(AP68&lt;0.066,"YES","NO"), IF(AP68&lt;0.111,"YES","NO")))</f>
        <v>n/a</v>
      </c>
    </row>
    <row r="89" spans="1:44" s="229" customFormat="1" ht="31" customHeight="1" x14ac:dyDescent="0.35">
      <c r="A89" s="237"/>
      <c r="B89" s="237"/>
      <c r="J89" s="250"/>
      <c r="K89" s="249"/>
      <c r="AO89" s="250" t="s">
        <v>54</v>
      </c>
      <c r="AP89" s="254" t="s">
        <v>63</v>
      </c>
      <c r="AQ89" s="253" t="s">
        <v>52</v>
      </c>
      <c r="AR89" s="237" t="str">
        <f>IF(OR(B5&lt;2029,AP68="n/a"),"n/a",IF(AQ68&lt;&gt;2,IF(COUNTIF(AP38:AP67,"&lt;"&amp;0.066)/COUNT(AP38:AP67)&lt;0.66,"NO","YES"),IF(COUNTIF(AP38:AP67,"&lt;"&amp;0.111)/COUNT(AP38:AP67)&lt;0.66,"NO","YES")))</f>
        <v>n/a</v>
      </c>
    </row>
    <row r="90" spans="1:44" s="229" customFormat="1" ht="31" customHeight="1" x14ac:dyDescent="0.35">
      <c r="A90" s="237"/>
      <c r="B90" s="237"/>
      <c r="J90" s="250"/>
      <c r="K90" s="249"/>
      <c r="AO90" s="250" t="s">
        <v>55</v>
      </c>
      <c r="AP90" s="254" t="s">
        <v>63</v>
      </c>
      <c r="AQ90" s="253" t="s">
        <v>52</v>
      </c>
      <c r="AR90" s="259" t="str">
        <f>IF(OR(B5&lt;2029,AP68="n/a"),"n/a",IF(AQ68&lt;&gt;2,COUNTIF(AP38:AP67,"&lt;"&amp;0.066)/COUNT(AP38:AP67),COUNTIF(AP38:AP67,"&lt;"&amp;0.111)/COUNT(AP38:AP67)))</f>
        <v>n/a</v>
      </c>
    </row>
    <row r="91" spans="1:44" s="229" customFormat="1" ht="31" customHeight="1" x14ac:dyDescent="0.35">
      <c r="A91" s="237"/>
      <c r="B91" s="237"/>
      <c r="K91" s="249"/>
      <c r="R91" s="244" t="s">
        <v>64</v>
      </c>
      <c r="S91" s="229" t="str" cm="1">
        <f t="array" ref="S91">IF(U68="n/a",U68,SUM(IF(ISNUMBER(NOxCatDen_Range),IF(NOxCatDen_Range&lt;0.95*GenD_Range,1,0))))</f>
        <v>n/a</v>
      </c>
      <c r="V91" s="229" t="str" cm="1">
        <f t="array" ref="V91">IF(X68="n/a",X68,SUM(IF(ISNUMBER(NOxAdsDen_Range),IF(NOxAdsDen_Range&lt;0.95*GenD_Range,1,0))))</f>
        <v>n/a</v>
      </c>
      <c r="Y91" s="237" t="str" cm="1">
        <f t="array" ref="Y91">IF(AA68="n/a",AA68,SUM(IF(ISNUMBER(ExhGasSenDen),IF(ExhGasSenDen&lt;0.95*GenD_Range,1,0))))</f>
        <v>n/a</v>
      </c>
      <c r="AB91" s="237" t="str" cm="1">
        <f t="array" ref="AB91">IF(AD68="n/a",AD68,SUM(IF(ISNUMBER(EGR_VVTDen_Range),IF(EGR_VVTDen_Range&lt;0.95*GenD_Range,1,0))))</f>
        <v>n/a</v>
      </c>
      <c r="AE91" s="237" t="str" cm="1">
        <f t="array" ref="AE91">IF(AG68="n/a",AG68,SUM(IF(ISNUMBER(EGR_VVTDen_Range),IF(EGR_VVTDen_Range&lt;0.95*GenD_Range,1,0))))</f>
        <v>n/a</v>
      </c>
      <c r="AH91" s="237" t="str" cm="1">
        <f t="array" ref="AH91">IF(AJ68="n/a",AJ68,SUM(IF(ISNUMBER(BoostDen_Range),IF(BoostDen_Range&lt;0.95*GenD_Range,1,0))))</f>
        <v>n/a</v>
      </c>
      <c r="AK91" s="237" t="str" cm="1">
        <f t="array" ref="AK91">IF(AM68="n/a",AM68,SUM(IF(ISNUMBER(FuelSysDen_Range),IF(FuelSysDen_Range&lt;0.95*GenD_Range,1,0))))</f>
        <v>n/a</v>
      </c>
      <c r="AN91" s="237" t="str" cm="1">
        <f t="array" ref="AN91">IF(AP68="n/a",AP68,SUM(IF(ISNUMBER(PMFltrDen_Range),IF(PMFltrDen_Range&lt;0.95*GenD_Range,1,0))))</f>
        <v>n/a</v>
      </c>
    </row>
    <row r="92" spans="1:44" s="229" customFormat="1" ht="31" customHeight="1" x14ac:dyDescent="0.35">
      <c r="A92" s="237"/>
      <c r="B92" s="237"/>
      <c r="I92" s="260" t="s">
        <v>65</v>
      </c>
      <c r="J92" s="260"/>
      <c r="K92" s="261" t="s">
        <v>46</v>
      </c>
      <c r="L92" s="262" t="s">
        <v>47</v>
      </c>
      <c r="R92" s="244" t="s">
        <v>66</v>
      </c>
      <c r="S92" s="229" t="str">
        <f t="array" ref="S92">IF(U68="n/a",U68,SUM(IF(ISNUMBER(NOxCatDen_Range),IF(NOxCatDen_Range&gt;GenD_Range,1,0))))</f>
        <v>n/a</v>
      </c>
      <c r="V92" s="229" t="str">
        <f t="array" ref="V92">IF(X68="n/a",X68,SUM(IF(ISNUMBER(NOxAdsDen_Range),IF(NOxAdsDen_Range&gt;GenD_Range,1,0))))</f>
        <v>n/a</v>
      </c>
      <c r="Y92" s="237" t="str">
        <f t="array" ref="Y92">IF(AA68="n/a",AA68,SUM(IF(ISNUMBER(ExhGasSenDen),IF(ExhGasSenDen&gt;GenD_Range,1,0))))</f>
        <v>n/a</v>
      </c>
      <c r="AB92" s="237" t="str">
        <f t="array" ref="AB92">IF(AD68="n/a",AD68,SUM(IF(ISNUMBER(EGR_VVTDen_Range),IF(EGR_VVTDen_Range&gt;GenD_Range,1,0))))</f>
        <v>n/a</v>
      </c>
      <c r="AE92" s="237" t="str">
        <f t="array" ref="AE92">IF(AG68="n/a",AG68,SUM(IF(ISNUMBER(EGR_VVTDen_Range),IF(EGR_VVTDen_Range&gt;GenD_Range,1,0))))</f>
        <v>n/a</v>
      </c>
      <c r="AH92" s="237" t="str">
        <f t="array" ref="AH92">IF(AJ68="n/a",AJ68,SUM(IF(ISNUMBER(BoostDen_Range),IF(BoostDen_Range&gt;GenD_Range,1,0))))</f>
        <v>n/a</v>
      </c>
      <c r="AK92" s="237" t="str">
        <f t="array" ref="AK92">IF(AM68="n/a",AM68,SUM(IF(ISNUMBER(FuelSysDen_Range),IF(FuelSysDen_Range&gt;GenD_Range,1,0))))</f>
        <v>n/a</v>
      </c>
      <c r="AN92" s="237" t="str">
        <f t="array" ref="AN92">IF(AP68="n/a",AP68,SUM(IF(ISNUMBER(PMFltrDen_Range),IF(PMFltrDen_Range&gt;GenD_Range,1,0))))</f>
        <v>n/a</v>
      </c>
    </row>
    <row r="93" spans="1:44" s="229" customFormat="1" ht="31" customHeight="1" x14ac:dyDescent="0.35">
      <c r="A93" s="237"/>
      <c r="B93" s="237"/>
      <c r="D93" s="263" t="str">
        <f>IF(OR($O$38 ="",$O$38=0,$O$38=7.99527,O68=N68),"Data Specific for Conventional Vehicle or Non-Plug-In Hybrid","")</f>
        <v>Data Specific for Conventional Vehicle or Non-Plug-In Hybrid</v>
      </c>
      <c r="E93" s="263"/>
      <c r="F93" s="263"/>
      <c r="G93" s="263"/>
      <c r="H93" s="263"/>
      <c r="J93" s="250" t="s">
        <v>67</v>
      </c>
      <c r="K93" s="264" t="str" cm="1">
        <f t="array" ref="K93">IF(K68="n/a", "n/a", AVERAGE(IF(ISNUMBER(ODO_Range/Ign_Range),ODO_Range/Ign_Range)))</f>
        <v>n/a</v>
      </c>
      <c r="L93" s="264" t="str" cm="1">
        <f t="array" ref="L93">IF(K68="n/a", "n/a",STDEV(IF(ISNUMBER(ODO_Range/Ign_Range),ODO_Range/Ign_Range)))</f>
        <v>n/a</v>
      </c>
      <c r="R93" s="244"/>
      <c r="X93" s="244"/>
      <c r="Y93" s="237"/>
      <c r="AD93" s="244"/>
      <c r="AG93" s="244"/>
      <c r="AH93" s="237"/>
      <c r="AM93" s="244"/>
      <c r="AO93" s="248" t="s">
        <v>68</v>
      </c>
    </row>
    <row r="94" spans="1:44" s="229" customFormat="1" ht="31" customHeight="1" x14ac:dyDescent="0.35">
      <c r="A94" s="237"/>
      <c r="B94" s="237"/>
      <c r="D94" s="263"/>
      <c r="E94" s="263"/>
      <c r="F94" s="263"/>
      <c r="G94" s="263"/>
      <c r="H94" s="263"/>
      <c r="J94" s="250" t="s">
        <v>69</v>
      </c>
      <c r="K94" s="264" t="str" cm="1">
        <f t="array" ref="K94">IF(K68="n/a", "n/a",AVERAGE(IF(ISNUMBER(ODO_Range/GenD_Range),ODO_Range/GenD_Range)))</f>
        <v>n/a</v>
      </c>
      <c r="L94" s="264" t="str" cm="1">
        <f t="array" ref="L94">IF(K68="n/a", "n/a",STDEV(IF(ISNUMBER(ODO_Range/GenD_Range),ODO_Range/GenD_Range)))</f>
        <v>n/a</v>
      </c>
      <c r="R94" s="244"/>
      <c r="X94" s="244"/>
      <c r="Y94" s="237"/>
      <c r="AD94" s="244"/>
      <c r="AG94" s="244"/>
      <c r="AH94" s="237"/>
      <c r="AM94" s="244"/>
      <c r="AO94" s="252" t="s">
        <v>50</v>
      </c>
      <c r="AP94" s="247"/>
    </row>
    <row r="95" spans="1:44" s="229" customFormat="1" ht="31" customHeight="1" x14ac:dyDescent="0.35">
      <c r="A95" s="237"/>
      <c r="B95" s="237"/>
      <c r="D95" s="263"/>
      <c r="E95" s="263"/>
      <c r="F95" s="263"/>
      <c r="G95" s="263"/>
      <c r="H95" s="263"/>
      <c r="J95" s="250" t="s">
        <v>70</v>
      </c>
      <c r="K95" s="264" t="str" cm="1">
        <f t="array" ref="K95">IF(AP68="n/a", "n/a",AVERAGE(IF(ISNUMBER(ODO_Range/PMFltrDen_Range),ODO_Range/PMFltrDen_Range)))</f>
        <v>n/a</v>
      </c>
      <c r="L95" s="264" t="str" cm="1">
        <f t="array" ref="L95">IF(K68="n/a", "n/a",STDEV(IF(ISNUMBER(ODO_Range/PMFltrDen_Range),ODO_Range/PMFltrDen_Range)))</f>
        <v>n/a</v>
      </c>
      <c r="X95" s="244"/>
      <c r="Y95" s="237"/>
      <c r="AD95" s="244"/>
      <c r="AG95" s="244"/>
      <c r="AH95" s="237"/>
      <c r="AO95" s="250" t="s">
        <v>51</v>
      </c>
      <c r="AP95" s="254" t="s">
        <v>71</v>
      </c>
      <c r="AQ95" s="253" t="s">
        <v>52</v>
      </c>
      <c r="AR95" s="237" t="str">
        <f>IF(OR(B5&gt;2021, AP68="n/a"),"n/a",IF(AQ68&gt;2,IF(AP68&lt;0.265,"YES","NO"),IF(AP68&lt;0.1,"YES","NO")))</f>
        <v>n/a</v>
      </c>
    </row>
    <row r="96" spans="1:44" s="229" customFormat="1" ht="31" customHeight="1" x14ac:dyDescent="0.35">
      <c r="A96" s="237"/>
      <c r="B96" s="237"/>
      <c r="D96" s="263"/>
      <c r="E96" s="263"/>
      <c r="F96" s="263"/>
      <c r="G96" s="263"/>
      <c r="H96" s="263"/>
      <c r="J96" s="250" t="s">
        <v>72</v>
      </c>
      <c r="K96" s="264" t="str" cm="1">
        <f t="array" ref="K96">IF(R68="n/a", "n/a",AVERAGE(IF(ISNUMBER(ODO_Range/NMHCCatDen_Range),ODO_Range/NMHCCatDen_Range)))</f>
        <v>n/a</v>
      </c>
      <c r="L96" s="264" t="str" cm="1">
        <f t="array" ref="L96">IF(R68="n/a", "n/a",STDEV(IF(ISNUMBER(ODO_Range/NMHCCatDen_Range),ODO_Range/NMHCCatDen_Range)))</f>
        <v>n/a</v>
      </c>
      <c r="AO96" s="250" t="s">
        <v>54</v>
      </c>
      <c r="AP96" s="254" t="s">
        <v>73</v>
      </c>
      <c r="AQ96" s="253" t="s">
        <v>52</v>
      </c>
      <c r="AR96" s="237" t="str">
        <f>IF(OR(B5&gt;2021, AP68="n/a"),"n/a",IF(AQ68&gt;2,IF(COUNTIF(AP38:AP67,"&lt;"&amp;0.3)/COUNT(AP38:AP67)&lt;0.66,"NO","YES"),IF(COUNTIF(AP38:AP67,"&lt;"&amp;0.1)/COUNT(AP38:AP67)&lt;0.66,"NO","YES")))</f>
        <v>n/a</v>
      </c>
    </row>
    <row r="97" spans="1:44" s="229" customFormat="1" ht="31" customHeight="1" x14ac:dyDescent="0.35">
      <c r="A97" s="237"/>
      <c r="B97" s="237"/>
      <c r="D97" s="263"/>
      <c r="E97" s="263"/>
      <c r="F97" s="263"/>
      <c r="G97" s="263"/>
      <c r="H97" s="263"/>
      <c r="J97" s="250" t="s">
        <v>74</v>
      </c>
      <c r="K97" s="251" t="str" cm="1">
        <f t="array" ref="K97">IF(K68="n/a", "n/a",AVERAGE(IF(ISNUMBER(GenD_Range/Ign_Range),GenD_Range/Ign_Range)))</f>
        <v>n/a</v>
      </c>
      <c r="L97" s="251" t="str" cm="1">
        <f t="array" ref="L97">IF(K68="n/a", "n/a",STDEV(IF(ISNUMBER(GenD_Range/Ign_Range),GenD_Range/Ign_Range)))</f>
        <v>n/a</v>
      </c>
      <c r="Y97" s="237"/>
      <c r="AO97" s="250" t="s">
        <v>55</v>
      </c>
      <c r="AP97" s="254" t="s">
        <v>73</v>
      </c>
      <c r="AQ97" s="253" t="s">
        <v>52</v>
      </c>
      <c r="AR97" s="1" t="str">
        <f>IF(OR(B5&gt;2021,AP68="n/a"),"n/a",IF(AQ68&gt;2,COUNTIF(AP38:AP67,"&lt;"&amp;0.3)/COUNT(AP38:AP67),COUNTIF(AP38:AP67,"&lt;"&amp;0.1)/COUNT(AP38:AP67)))</f>
        <v>n/a</v>
      </c>
    </row>
    <row r="98" spans="1:44" s="229" customFormat="1" ht="31" customHeight="1" x14ac:dyDescent="0.35">
      <c r="A98" s="237"/>
      <c r="B98" s="237"/>
      <c r="D98" s="263"/>
      <c r="E98" s="263"/>
      <c r="F98" s="263"/>
      <c r="G98" s="263"/>
      <c r="H98" s="263"/>
      <c r="J98" s="250" t="s">
        <v>75</v>
      </c>
      <c r="K98" s="251" t="str" cm="1">
        <f t="array" ref="K98">IF(K68="n/a", "n/a",AVERAGE(IF(ISNUMBER(PMFltrDen_Range/Ign_Range),PMFltrDen_Range/Ign_Range)))</f>
        <v>n/a</v>
      </c>
      <c r="L98" s="251" t="str" cm="1">
        <f t="array" ref="L98">IF(K68="n/a", "n/a",STDEV(IF(ISNUMBER(PMFltrDen_Range/Ign_Range),PMFltrDen_Range/Ign_Range)))</f>
        <v>n/a</v>
      </c>
      <c r="M98" s="237"/>
      <c r="Y98" s="237"/>
      <c r="AO98" s="1"/>
      <c r="AR98" s="237"/>
    </row>
    <row r="99" spans="1:44" s="229" customFormat="1" ht="31" customHeight="1" x14ac:dyDescent="0.35">
      <c r="A99" s="237"/>
      <c r="B99" s="237"/>
      <c r="C99" s="237"/>
      <c r="D99" s="263"/>
      <c r="E99" s="263"/>
      <c r="F99" s="263"/>
      <c r="G99" s="263"/>
      <c r="H99" s="263"/>
      <c r="J99" s="250" t="s">
        <v>76</v>
      </c>
      <c r="K99" s="251" t="str" cm="1">
        <f t="array" ref="K99">IF(K68="n/a", "n/a",AVERAGE(IF(ISNUMBER(PMFltrDen_Range/GenD_Range),PMFltrDen_Range/GenD_Range)))</f>
        <v>n/a</v>
      </c>
      <c r="L99" s="251" t="str" cm="1">
        <f t="array" ref="L99">IF(K68="n/a", "n/a",STDEV(IF(ISNUMBER(PMFltrDen_Range/GenD_Range),PMFltrDen_Range/GenD_Range)))</f>
        <v>n/a</v>
      </c>
      <c r="M99" s="237"/>
      <c r="Y99" s="237"/>
      <c r="AO99" s="252" t="s">
        <v>57</v>
      </c>
      <c r="AP99" s="247"/>
    </row>
    <row r="100" spans="1:44" s="229" customFormat="1" ht="31" customHeight="1" x14ac:dyDescent="0.35">
      <c r="A100" s="237"/>
      <c r="B100" s="237"/>
      <c r="C100" s="237"/>
      <c r="D100" s="263"/>
      <c r="E100" s="263"/>
      <c r="F100" s="263"/>
      <c r="G100" s="263"/>
      <c r="H100" s="263"/>
      <c r="J100" s="250" t="s">
        <v>77</v>
      </c>
      <c r="K100" s="247" t="str" cm="1">
        <f t="array" ref="K100">IF(K68="n/a", "n/a",AVERAGE(IF(ISNUMBER(PMFltrlNum_Range/GenD_Range),PMFltrlNum_Range/GenD_Range)))</f>
        <v>n/a</v>
      </c>
      <c r="L100" s="247" t="str" cm="1">
        <f t="array" ref="L100">IF(K68="n/a", "n/a",STDEV(IF(ISNUMBER(PMFltrlNum_Range/GenD_Range),PMFltrlNum_Range/GenD_Range)))</f>
        <v>n/a</v>
      </c>
      <c r="M100" s="265"/>
      <c r="AO100" s="250" t="s">
        <v>51</v>
      </c>
      <c r="AP100" s="254" t="s">
        <v>78</v>
      </c>
      <c r="AQ100" s="253" t="s">
        <v>52</v>
      </c>
      <c r="AR100" s="237" t="str">
        <f>IF(OR(B5&gt;2025, B5&lt;2022, AP68="n/a"),"n/a",IF(AQ68&gt;2,IF(AP68&lt;0.265,"YES","NO"),IF(AP68&lt;0.133,"YES","NO")))</f>
        <v>n/a</v>
      </c>
    </row>
    <row r="101" spans="1:44" s="229" customFormat="1" ht="31" customHeight="1" x14ac:dyDescent="0.35">
      <c r="A101" s="237"/>
      <c r="B101" s="237"/>
      <c r="C101" s="237"/>
      <c r="D101" s="255"/>
      <c r="E101" s="255"/>
      <c r="F101" s="255"/>
      <c r="G101" s="255"/>
      <c r="H101" s="255"/>
      <c r="I101" s="237"/>
      <c r="J101" s="250"/>
      <c r="K101" s="247"/>
      <c r="L101" s="247"/>
      <c r="AO101" s="250" t="s">
        <v>54</v>
      </c>
      <c r="AP101" s="254" t="s">
        <v>79</v>
      </c>
      <c r="AQ101" s="253" t="s">
        <v>52</v>
      </c>
      <c r="AR101" s="237" t="str">
        <f>IF(OR(B5&gt;2025, B5&lt;2022, AP68="n/a"),"n/a",IF(AQ68&gt;2,IF(COUNTIF(AP38:AP67,"&lt;"&amp;0.3)/COUNT(AP38:AP67)&lt;0.66,"NO","YES"),IF(COUNTIF(AP38:AP67,"&lt;"&amp;0.15)/COUNT(AP38:AP67)&lt;0.66,"NO","YES")))</f>
        <v>n/a</v>
      </c>
    </row>
    <row r="102" spans="1:44" s="229" customFormat="1" ht="31" customHeight="1" x14ac:dyDescent="0.35">
      <c r="A102" s="237"/>
      <c r="B102" s="237"/>
      <c r="C102" s="237"/>
      <c r="D102" s="255"/>
      <c r="E102" s="255"/>
      <c r="F102" s="255"/>
      <c r="G102" s="255"/>
      <c r="H102" s="255"/>
      <c r="I102" s="260" t="s">
        <v>80</v>
      </c>
      <c r="J102" s="260"/>
      <c r="K102" s="261" t="s">
        <v>46</v>
      </c>
      <c r="L102" s="262" t="s">
        <v>47</v>
      </c>
      <c r="AO102" s="250" t="s">
        <v>55</v>
      </c>
      <c r="AP102" s="254" t="s">
        <v>79</v>
      </c>
      <c r="AQ102" s="253" t="s">
        <v>52</v>
      </c>
      <c r="AR102" s="1" t="str">
        <f>IF(OR(B5&gt;2025, B5&lt;2022, AP68="n/a"),"n/a",IF(AQ68&gt;2,COUNTIF(AP38:AP67,"&lt;"&amp;0.3)/COUNT(AP38:AP67),COUNTIF(AP38:AP67,"&lt;"&amp;0.15)/COUNT(AP38:AP67)))</f>
        <v>n/a</v>
      </c>
    </row>
    <row r="103" spans="1:44" s="229" customFormat="1" ht="31" customHeight="1" x14ac:dyDescent="0.35">
      <c r="D103" s="263" t="str">
        <f>IF(AND($O$38&lt;&gt;"",$O$38&lt;&gt;0,$O$38&lt;&gt;7.99527,O68&lt;N68),"Data Specific for Plug-in Hybrid","")</f>
        <v/>
      </c>
      <c r="E103" s="263"/>
      <c r="F103" s="263"/>
      <c r="G103" s="263"/>
      <c r="H103" s="263"/>
      <c r="I103" s="237"/>
      <c r="J103" s="250" t="s">
        <v>81</v>
      </c>
      <c r="K103" s="264" t="str">
        <f t="array" ref="K103">IF(OR($O$38="",$O$38=0,$O$38=7.99527),"n/a",AVERAGE(IF(ISNUMBER(PHEV_Ign_Range/Ign_Range),PHEV_Ign_Range/Ign_Range)))</f>
        <v>n/a</v>
      </c>
      <c r="L103" s="264" t="str">
        <f t="array" ref="L103">IF(OR($O$38="",$O$38=0,$O$38=7.99527),"n/a",STDEV(IF(ISNUMBER(PHEV_Ign_Range/Ign_Range),PHEV_Ign_Range/Ign_Range)))</f>
        <v>n/a</v>
      </c>
    </row>
    <row r="104" spans="1:44" s="229" customFormat="1" ht="31" customHeight="1" x14ac:dyDescent="0.35">
      <c r="A104" s="255"/>
      <c r="B104" s="255"/>
      <c r="D104" s="263"/>
      <c r="E104" s="263"/>
      <c r="F104" s="263"/>
      <c r="G104" s="263"/>
      <c r="H104" s="263"/>
      <c r="J104" s="250" t="s">
        <v>82</v>
      </c>
      <c r="K104" s="264" t="str">
        <f t="array" ref="K104">IF(OR($O$38="",$O$38=0,$O$38=7.99527),"n/a",AVERAGE(IF(ISNUMBER(ODO_Range/PHEV_Ign_Range),ODO_Range/PHEV_Ign_Range)))</f>
        <v>n/a</v>
      </c>
      <c r="L104" s="264" t="str">
        <f t="array" ref="L104">IF(OR($O$38="",$O$38=0,$O$38=7.99527),"n/a",STDEV(IF(ISNUMBER(ODO_Range/PHEV_Ign_Range),ODO_Range/PHEV_Ign_Range)))</f>
        <v>n/a</v>
      </c>
      <c r="AO104" s="252" t="s">
        <v>59</v>
      </c>
      <c r="AP104" s="247"/>
    </row>
    <row r="105" spans="1:44" s="229" customFormat="1" ht="31" customHeight="1" x14ac:dyDescent="0.35">
      <c r="A105" s="237"/>
      <c r="B105" s="237"/>
      <c r="D105" s="263"/>
      <c r="E105" s="263"/>
      <c r="F105" s="263"/>
      <c r="G105" s="263"/>
      <c r="H105" s="263"/>
      <c r="J105" s="250" t="s">
        <v>69</v>
      </c>
      <c r="K105" s="264" t="str">
        <f t="array" ref="K105">IF(OR($O$38="",$O$38=0,$O$38=7.99527),"n/a",AVERAGE(IF(ISNUMBER(ODO_Range/GenD_Range),ODO_Range/GenD_Range)))</f>
        <v>n/a</v>
      </c>
      <c r="L105" s="264" t="str">
        <f t="array" ref="L105">IF(OR($O$38="",$O$38=0,$O$38=7.99527),"n/a",STDEV(IF(ISNUMBER(ODO_Range/GenD_Range),ODO_Range/GenD_Range)))</f>
        <v>n/a</v>
      </c>
      <c r="AO105" s="250" t="s">
        <v>51</v>
      </c>
      <c r="AP105" s="254" t="s">
        <v>83</v>
      </c>
      <c r="AQ105" s="253" t="s">
        <v>52</v>
      </c>
      <c r="AR105" s="237" t="str">
        <f>IF(OR(B5&gt;2028, B5&lt;2026, AP68="n/a"),"n/a",IF(AQ68&lt;&gt;2,IF(AR68&gt;1, IF(AP68&lt;0.133,"YES","NO"), IF(AP68&lt;0.297, "YES", "NO")), IF(AP68&lt;0.297,"YES","NO")))</f>
        <v>n/a</v>
      </c>
    </row>
    <row r="106" spans="1:44" s="229" customFormat="1" ht="31" customHeight="1" x14ac:dyDescent="0.35">
      <c r="A106" s="237"/>
      <c r="B106" s="237"/>
      <c r="D106" s="263"/>
      <c r="E106" s="263"/>
      <c r="F106" s="263"/>
      <c r="G106" s="263"/>
      <c r="H106" s="263"/>
      <c r="J106" s="250" t="s">
        <v>70</v>
      </c>
      <c r="K106" s="264" t="str">
        <f t="array" ref="K106">IF(OR($O$38="",$O$38=0,$O$38=7.99527),"n/a",AVERAGE(IF(ISNUMBER(ODO_Range/PMFltrDen_Range),ODO_Range/PMFltrDen_Range)))</f>
        <v>n/a</v>
      </c>
      <c r="L106" s="264" t="str">
        <f t="array" ref="L106">IF(OR($O$38="",$O$38=0,$O$38=7.99527),"n/a",STDEV(IF(ISNUMBER(ODO_Range/PMFltrDen_Range),ODO_Range/PMFltrDen_Range)))</f>
        <v>n/a</v>
      </c>
      <c r="AO106" s="250" t="s">
        <v>54</v>
      </c>
      <c r="AP106" s="254" t="s">
        <v>84</v>
      </c>
      <c r="AQ106" s="253" t="s">
        <v>52</v>
      </c>
      <c r="AR106" s="237" t="str">
        <f>IF(OR(B5&gt;2028,B5&lt;2026,AP68="n/a"),"n/a",IF(AQ68&lt;&gt;2,IF(AR68&gt;1,IF(COUNTIF(AP38:AP67,"&lt;"&amp;0.15)/COUNT(AP38:AP67)&lt;0.66,"NO","YES"),IF(COUNTIF(AP38:AP67,"&lt;"&amp;0.297)/COUNT(AP38:AP67)&lt;0.66,"NO","YES")),IF(COUNTIF(AP38:AP67,"&lt;"&amp;0.297)/COUNT(AP38:AP67)&lt;0.66,"NO","YES")))</f>
        <v>n/a</v>
      </c>
    </row>
    <row r="107" spans="1:44" s="229" customFormat="1" ht="31" customHeight="1" x14ac:dyDescent="0.35">
      <c r="A107" s="237"/>
      <c r="B107" s="237"/>
      <c r="D107" s="263"/>
      <c r="E107" s="263"/>
      <c r="F107" s="263"/>
      <c r="G107" s="263"/>
      <c r="H107" s="263"/>
      <c r="J107" s="250" t="s">
        <v>72</v>
      </c>
      <c r="K107" s="251" t="str">
        <f t="array" ref="K107">IF(OR($O$38="",$O$38=0,$O$38=7.99527),"n/a",AVERAGE(IF(ISNUMBER(ODO_Range/NMHCCatDen_Range),ODO_Range/NMHCCatDen_Range)))</f>
        <v>n/a</v>
      </c>
      <c r="L107" s="251" t="str">
        <f t="array" ref="L107">IF(OR($O$38="",$O$38=0,$O$38=7.99527),"n/a",STDEV(IF(ISNUMBER(ODO_Range/NMHCCatDen_Range),ODO_Range/NMHCCatDen_Range)))</f>
        <v>n/a</v>
      </c>
      <c r="AO107" s="250" t="s">
        <v>55</v>
      </c>
      <c r="AP107" s="254" t="s">
        <v>84</v>
      </c>
      <c r="AQ107" s="253" t="s">
        <v>52</v>
      </c>
      <c r="AR107" s="1" t="str">
        <f>IF(OR(B5&gt;2028,B5&lt;2026,AP68="n/a"),"n/a",IF(AQ68&lt;&gt;2,IF(AR68&gt;1,COUNTIF(AP38:AP67,"&lt;"&amp;0.15)/COUNT(AP38:AP67),COUNTIF(AP38:AP67,"&lt;"&amp;0.297)/COUNT(AP38:AP67)),COUNTIF(AP38:AP67,"&lt;"&amp;0.297)/COUNT(AP38:AP67)))</f>
        <v>n/a</v>
      </c>
    </row>
    <row r="108" spans="1:44" s="229" customFormat="1" ht="31" customHeight="1" x14ac:dyDescent="0.35">
      <c r="A108" s="237"/>
      <c r="B108" s="237"/>
      <c r="D108" s="263"/>
      <c r="E108" s="263"/>
      <c r="F108" s="263"/>
      <c r="G108" s="263"/>
      <c r="H108" s="263"/>
      <c r="J108" s="250" t="s">
        <v>85</v>
      </c>
      <c r="K108" s="251" t="str">
        <f t="array" ref="K108">IF(OR($O$38="",$O$38=0,$O$38=7.99527),"n/a",AVERAGE(IF(ISNUMBER(GenD_Range/PHEV_Ign_Range),GenD_Range/PHEV_Ign_Range)))</f>
        <v>n/a</v>
      </c>
      <c r="L108" s="251" t="str">
        <f t="array" ref="L108">IF(OR($O$38="",$O$38=0,$O$38=7.99527),"n/a",STDEV(IF(ISNUMBER(GenD_Range/PHEV_Ign_Range),GenD_Range/PHEV_Ign_Range)))</f>
        <v>n/a</v>
      </c>
    </row>
    <row r="109" spans="1:44" s="229" customFormat="1" ht="31" customHeight="1" x14ac:dyDescent="0.35">
      <c r="A109" s="237"/>
      <c r="B109" s="237"/>
      <c r="D109" s="263"/>
      <c r="E109" s="263"/>
      <c r="F109" s="263"/>
      <c r="G109" s="263"/>
      <c r="H109" s="263"/>
      <c r="J109" s="250" t="s">
        <v>86</v>
      </c>
      <c r="K109" s="251" t="str">
        <f t="array" ref="K109">IF(OR($O$38="",$O$38=0,$O$38=7.99527),"n/a",AVERAGE(IF(ISNUMBER(PMFltrDen_Range/PHEV_Ign_Range),PMFltrDen_Range/PHEV_Ign_Range)))</f>
        <v>n/a</v>
      </c>
      <c r="L109" s="251" t="str">
        <f t="array" ref="L109">IF(OR($O$38="",$O$38=0,$O$38=7.99527),"n/a",STDEV(IF(ISNUMBER(PMFltrDen_Range/PHEV_Ign_Range),PMFltrDen_Range/PHEV_Ign_Range)))</f>
        <v>n/a</v>
      </c>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52" t="s">
        <v>62</v>
      </c>
      <c r="AP109" s="247"/>
    </row>
    <row r="110" spans="1:44" s="229" customFormat="1" ht="31" customHeight="1" x14ac:dyDescent="0.35">
      <c r="A110" s="237"/>
      <c r="B110" s="237"/>
      <c r="D110" s="263"/>
      <c r="E110" s="263"/>
      <c r="F110" s="263"/>
      <c r="G110" s="263"/>
      <c r="H110" s="263"/>
      <c r="J110" s="250" t="s">
        <v>76</v>
      </c>
      <c r="K110" s="247" t="str">
        <f t="array" ref="K110">IF(OR($O$38="",$O$38=0,$O$38=7.99527),"n/a",AVERAGE(IF(ISNUMBER(PMFltrDen_Range/GenD_Range),PMFltrDen_Range/GenD_Range)))</f>
        <v>n/a</v>
      </c>
      <c r="L110" s="247" t="str">
        <f t="array" ref="L110">IF(OR($O$38="",$O$38=0,$O$38=7.99527),"n/a",STDEV(IF(ISNUMBER(PMFltrDen_Range/GenD_Range),PMFltrDen_Range/GenD_Range)))</f>
        <v>n/a</v>
      </c>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50" t="s">
        <v>51</v>
      </c>
      <c r="AP110" s="254" t="s">
        <v>87</v>
      </c>
      <c r="AQ110" s="253" t="s">
        <v>52</v>
      </c>
      <c r="AR110" s="237" t="str">
        <f>IF(OR(B5&lt;2029, AP68="n/a"),"n/a",IF(AQ68&lt;&gt;2,IF(AP68&lt;0.177,"YES","NO"), IF(AP68&lt;0.297,"YES","NO")))</f>
        <v>n/a</v>
      </c>
    </row>
    <row r="111" spans="1:44" s="229" customFormat="1" ht="31" customHeight="1" x14ac:dyDescent="0.35">
      <c r="A111" s="237"/>
      <c r="B111" s="237"/>
      <c r="D111" s="263"/>
      <c r="E111" s="263"/>
      <c r="F111" s="263"/>
      <c r="G111" s="263"/>
      <c r="H111" s="263"/>
      <c r="J111" s="250" t="s">
        <v>77</v>
      </c>
      <c r="K111" s="247" t="str">
        <f t="array" ref="K111">IF(OR($O$38="",$O$38=0,$O$38=7.99527),"n/a",AVERAGE(IF(ISNUMBER(PMFltrlNum_Range/GenD_Range),PMFltrlNum_Range/GenD_Range)))</f>
        <v>n/a</v>
      </c>
      <c r="L111" s="247" t="str">
        <f t="array" ref="L111">IF(OR($O$38="",$O$38=0,$O$38=7.99527),"n/a",STDEV(IF(ISNUMBER(PMFltrlNum_Range/GenD_Range),PMFltrlNum_Range/GenD_Range)))</f>
        <v>n/a</v>
      </c>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50" t="s">
        <v>54</v>
      </c>
      <c r="AP111" s="254" t="s">
        <v>88</v>
      </c>
      <c r="AQ111" s="253" t="s">
        <v>52</v>
      </c>
      <c r="AR111" s="237" t="str">
        <f>IF(OR(B5&lt;2029,AP68="n/a"),"n/a",IF(AQ68&lt;&gt;2,IF(COUNTIF(AP38:AP67,"&lt;"&amp;0.2)/COUNT(AP38:AP67)&lt;0.66,"NO","YES"),IF(COUNTIF(AP38:AP67,"&lt;"&amp;0.336)/COUNT(AP38:AP67)&lt;0.66,"NO","YES")))</f>
        <v>n/a</v>
      </c>
    </row>
    <row r="112" spans="1:44" ht="31" customHeight="1" x14ac:dyDescent="0.35">
      <c r="A112" s="267"/>
      <c r="B112" s="267"/>
      <c r="AO112" s="250" t="s">
        <v>55</v>
      </c>
      <c r="AP112" s="254" t="s">
        <v>88</v>
      </c>
      <c r="AQ112" s="253" t="s">
        <v>52</v>
      </c>
      <c r="AR112" s="1" t="str">
        <f>IF(OR(B5&lt;2029,AP68="n/a"),"n/a",IF(AQ68&lt;&gt;2,COUNTIF(AP38:AP67,"&lt;"&amp;0.2)/COUNT(AP38:AP67),COUNTIF(AP38:AP67,"&lt;"&amp;0.336)/COUNT(AP38:AP67)))</f>
        <v>n/a</v>
      </c>
    </row>
    <row r="113" spans="1:44" ht="31" customHeight="1" x14ac:dyDescent="0.25">
      <c r="A113" s="267"/>
      <c r="B113" s="267"/>
      <c r="K113" s="269"/>
    </row>
    <row r="114" spans="1:44" ht="31" customHeight="1" x14ac:dyDescent="0.25">
      <c r="A114" s="267"/>
      <c r="B114" s="267"/>
      <c r="K114" s="266"/>
    </row>
    <row r="115" spans="1:44" ht="31" customHeight="1" x14ac:dyDescent="0.35">
      <c r="A115" s="267"/>
      <c r="B115" s="267"/>
      <c r="K115" s="266"/>
      <c r="AO115" s="248" t="s">
        <v>89</v>
      </c>
    </row>
    <row r="116" spans="1:44" ht="31" customHeight="1" x14ac:dyDescent="0.35">
      <c r="A116" s="267"/>
      <c r="B116" s="267"/>
      <c r="AO116" s="252" t="s">
        <v>50</v>
      </c>
      <c r="AP116" s="247"/>
      <c r="AQ116" s="229"/>
    </row>
    <row r="117" spans="1:44" ht="31" customHeight="1" x14ac:dyDescent="0.35">
      <c r="A117" s="267"/>
      <c r="B117" s="267"/>
      <c r="R117" s="267"/>
      <c r="S117" s="270"/>
      <c r="AO117" s="250" t="s">
        <v>51</v>
      </c>
      <c r="AP117" s="254" t="s">
        <v>73</v>
      </c>
      <c r="AQ117" s="253" t="s">
        <v>52</v>
      </c>
      <c r="AR117" s="237" t="str">
        <f>IF(OR(B5&gt;2021, AP68="n/a"),"n/a",IF(AQ68&gt;2,IF(AP68&lt;0.3,"YES","NO"),IF(AP68&lt;0.1,"YES","NO")))</f>
        <v>n/a</v>
      </c>
    </row>
    <row r="118" spans="1:44" ht="31" customHeight="1" x14ac:dyDescent="0.25">
      <c r="A118" s="267"/>
      <c r="B118" s="267"/>
    </row>
    <row r="119" spans="1:44" ht="31" customHeight="1" x14ac:dyDescent="0.35">
      <c r="A119" s="267"/>
      <c r="B119" s="267"/>
      <c r="AO119" s="252" t="s">
        <v>57</v>
      </c>
      <c r="AP119" s="247"/>
      <c r="AQ119" s="229"/>
    </row>
    <row r="120" spans="1:44" ht="31" customHeight="1" x14ac:dyDescent="0.35">
      <c r="A120" s="267"/>
      <c r="B120" s="267"/>
      <c r="AO120" s="250" t="s">
        <v>51</v>
      </c>
      <c r="AP120" s="254" t="s">
        <v>79</v>
      </c>
      <c r="AQ120" s="253" t="s">
        <v>52</v>
      </c>
      <c r="AR120" s="237" t="str">
        <f>IF(OR(B5&gt;2025, B5&lt;2022, AP68="n/a"),"n/a",IF(AQ68&gt;2,IF(AP68&lt;0.3,"YES","NO"),IF(AP68&lt;0.15,"YES","NO")))</f>
        <v>n/a</v>
      </c>
    </row>
    <row r="121" spans="1:44" ht="31" customHeight="1" x14ac:dyDescent="0.25"/>
    <row r="122" spans="1:44" ht="31" customHeight="1" x14ac:dyDescent="0.35">
      <c r="AO122" s="252" t="s">
        <v>59</v>
      </c>
      <c r="AP122" s="247"/>
      <c r="AQ122" s="229"/>
    </row>
    <row r="123" spans="1:44" ht="31" customHeight="1" x14ac:dyDescent="0.35">
      <c r="AO123" s="250" t="s">
        <v>51</v>
      </c>
      <c r="AP123" s="254" t="s">
        <v>84</v>
      </c>
      <c r="AQ123" s="253" t="s">
        <v>52</v>
      </c>
      <c r="AR123" s="237" t="str">
        <f>IF(OR(B5&gt;2028, B5&lt;2026, AP68="n/a"),"n/a",IF(AQ68&lt;&gt;2,IF(AR68&gt;1, IF(AP68&lt;0.15,"YES","NO"), IF(AP68&lt;0.336, "YES", "NO")), IF(AP68&lt;0.336,"YES","NO")))</f>
        <v>n/a</v>
      </c>
    </row>
    <row r="124" spans="1:44" ht="31" customHeight="1" x14ac:dyDescent="0.25"/>
    <row r="125" spans="1:44" ht="31" customHeight="1" x14ac:dyDescent="0.35">
      <c r="AO125" s="252" t="s">
        <v>62</v>
      </c>
      <c r="AP125" s="247"/>
      <c r="AQ125" s="229"/>
    </row>
    <row r="126" spans="1:44" ht="31" customHeight="1" x14ac:dyDescent="0.35">
      <c r="AO126" s="250" t="s">
        <v>51</v>
      </c>
      <c r="AP126" s="254" t="s">
        <v>88</v>
      </c>
      <c r="AQ126" s="253" t="s">
        <v>52</v>
      </c>
      <c r="AR126" s="237" t="str">
        <f>IF(OR(B5&lt;2029, AP68="n/a"),"n/a",IF(AQ68&lt;&gt;2,IF(AP68&lt;0.2,"YES","NO"), IF(AP68&lt;0.336,"YES","NO")))</f>
        <v>n/a</v>
      </c>
    </row>
    <row r="127" spans="1:44" ht="31" hidden="1" customHeight="1" x14ac:dyDescent="0.25"/>
    <row r="128" spans="1:44" ht="31" hidden="1" customHeight="1" x14ac:dyDescent="0.25"/>
  </sheetData>
  <sheetProtection algorithmName="SHA-512" hashValue="3TxHfd3UI2NNB6f+x8/a/jlW5Ka+Bupu/zdr6INtk0sYFxIHM5jaGmlaWvBY29YbByBAa3DqJ4jRse+rnIhX2w==" saltValue="12nk867PuKc4mR758YZpcQ==" spinCount="100000" sheet="1" objects="1" scenarios="1"/>
  <mergeCells count="8">
    <mergeCell ref="A1:XFD1"/>
    <mergeCell ref="A3:XFD3"/>
    <mergeCell ref="D93:H100"/>
    <mergeCell ref="I102:J102"/>
    <mergeCell ref="D103:H111"/>
    <mergeCell ref="I92:J92"/>
    <mergeCell ref="A35:XFD36"/>
    <mergeCell ref="A2:BC2"/>
  </mergeCells>
  <conditionalFormatting sqref="D93:H100">
    <cfRule type="expression" dxfId="68" priority="46">
      <formula>OR($O$38="",$O$38=0,$O$38=7.99527,$O$68=$N$68)</formula>
    </cfRule>
  </conditionalFormatting>
  <conditionalFormatting sqref="D103:H111">
    <cfRule type="expression" dxfId="67" priority="44">
      <formula>AND($O$38&lt;&gt;"",$O$38&lt;&gt;0,$O$38&lt;&gt;7.99527,$O$68&lt;$N$68)</formula>
    </cfRule>
  </conditionalFormatting>
  <conditionalFormatting sqref="I93:L100">
    <cfRule type="expression" dxfId="66" priority="45">
      <formula>OR($O$38="",$O$38=0,$O$38=7.99527,$O$68=$N$68)</formula>
    </cfRule>
  </conditionalFormatting>
  <conditionalFormatting sqref="I103:L111">
    <cfRule type="expression" dxfId="65" priority="43">
      <formula>AND($O$38&lt;&gt;"",$O$38&lt;&gt;0,$O$38&lt;&gt;7.99527,$O$68&lt;$N$68)</formula>
    </cfRule>
  </conditionalFormatting>
  <conditionalFormatting sqref="K38:K67">
    <cfRule type="cellIs" dxfId="64" priority="62" stopIfTrue="1" operator="lessThan">
      <formula>1000</formula>
    </cfRule>
  </conditionalFormatting>
  <conditionalFormatting sqref="K95:K96">
    <cfRule type="expression" dxfId="63" priority="63" stopIfTrue="1">
      <formula>"&gt;550"</formula>
    </cfRule>
  </conditionalFormatting>
  <conditionalFormatting sqref="K105:K106">
    <cfRule type="expression" dxfId="62" priority="47" stopIfTrue="1">
      <formula>AND($K$105&gt;500,$K$105&lt;&gt;"n/a")</formula>
    </cfRule>
  </conditionalFormatting>
  <conditionalFormatting sqref="N38">
    <cfRule type="expression" dxfId="61" priority="81" stopIfTrue="1">
      <formula>OR(N38&lt;M38,N38&lt;P38,N38&lt;S38,N38&lt;V38, N38&lt;AN38,N38&lt;Y38, N38&lt;AB38,N38&lt;AH38,N38&lt;AK38)</formula>
    </cfRule>
  </conditionalFormatting>
  <conditionalFormatting sqref="N39:N66">
    <cfRule type="expression" dxfId="60" priority="82" stopIfTrue="1">
      <formula>OR(N39&lt;M39,N39&lt;P39,N39&lt;S39,N39&lt;V39,N39&lt;AN39,N39&lt;Y39,N39&lt;AB39,N39&lt;AH39,N39&lt;AK39)</formula>
    </cfRule>
  </conditionalFormatting>
  <conditionalFormatting sqref="N67">
    <cfRule type="expression" dxfId="59" priority="83" stopIfTrue="1">
      <formula>OR(N67&lt;M67,N67&lt;P67,N67&lt;67,N67&lt;V67,N67&lt;AN67,N67&lt;Y67, N67&lt;AB67,N67&lt;AH67,N67&lt;AK67)</formula>
    </cfRule>
  </conditionalFormatting>
  <conditionalFormatting sqref="O38:O67">
    <cfRule type="expression" dxfId="58" priority="78" stopIfTrue="1">
      <formula>O38&gt;N38</formula>
    </cfRule>
    <cfRule type="expression" dxfId="57" priority="77" stopIfTrue="1">
      <formula>OR(O38&lt;M38,O38&lt;P38,O38&lt;V38, O38&lt;Y38, O38&lt;AH38)</formula>
    </cfRule>
    <cfRule type="expression" dxfId="56" priority="76" stopIfTrue="1">
      <formula>OR(O38&lt;M38,O38&lt;P38,O38&lt;V38, O38&lt;Y38, O38&lt;AH38)*(O38&gt;N38)</formula>
    </cfRule>
  </conditionalFormatting>
  <conditionalFormatting sqref="P91">
    <cfRule type="cellIs" dxfId="55" priority="61" stopIfTrue="1" operator="greaterThan">
      <formula>0</formula>
    </cfRule>
  </conditionalFormatting>
  <conditionalFormatting sqref="P92">
    <cfRule type="cellIs" dxfId="54" priority="57" stopIfTrue="1" operator="greaterThan">
      <formula>0</formula>
    </cfRule>
  </conditionalFormatting>
  <conditionalFormatting sqref="Q20:Q34">
    <cfRule type="cellIs" dxfId="53" priority="41" stopIfTrue="1" operator="greaterThan">
      <formula>"$M3"</formula>
    </cfRule>
  </conditionalFormatting>
  <conditionalFormatting sqref="Q73:Q74 T73:T74 W73:W74 Z73:Z74 AC73:AC74 AI73:AI74 AL73:AL74 AN76:AN77 Q80:Q81 T80:T81 W80:W81 Z80:Z81 AC80:AC81 AI80:AI81 AL80:AL81 AN82 Q86 T86 W86 Z86 AC86 AI86 AL86">
    <cfRule type="cellIs" dxfId="52" priority="52" stopIfTrue="1" operator="equal">
      <formula>"YES"</formula>
    </cfRule>
  </conditionalFormatting>
  <conditionalFormatting sqref="R38:R67 U38:U67 X38:X67 AA38:AA67 AD38:AD67 AG38:AG67 AJ38:AJ67 AM38:AM67 AP38:AP67">
    <cfRule type="expression" dxfId="51" priority="48" stopIfTrue="1">
      <formula>AND(Q38=0,P38&gt;0)</formula>
    </cfRule>
  </conditionalFormatting>
  <conditionalFormatting sqref="S91 V91 Y91 AB91 AH91 AK91">
    <cfRule type="expression" dxfId="50" priority="54" stopIfTrue="1">
      <formula>IF(S91="n/a",,S91&gt;0)</formula>
    </cfRule>
  </conditionalFormatting>
  <conditionalFormatting sqref="S92 V92 Y92 AB92 AH92 AK92">
    <cfRule type="expression" dxfId="49" priority="55" stopIfTrue="1">
      <formula>IF(S92="n/a",,S92&gt;0)</formula>
    </cfRule>
  </conditionalFormatting>
  <conditionalFormatting sqref="S93:S94 AN94">
    <cfRule type="expression" dxfId="48" priority="53" stopIfTrue="1">
      <formula>IF(S93="n/a",,S93&gt;0)</formula>
    </cfRule>
  </conditionalFormatting>
  <conditionalFormatting sqref="T20:T34">
    <cfRule type="cellIs" dxfId="47" priority="39" stopIfTrue="1" operator="greaterThan">
      <formula>"$M3"</formula>
    </cfRule>
  </conditionalFormatting>
  <conditionalFormatting sqref="T38:T67">
    <cfRule type="cellIs" dxfId="46" priority="67" stopIfTrue="1" operator="greaterThan">
      <formula>$M38</formula>
    </cfRule>
    <cfRule type="expression" dxfId="45" priority="66" stopIfTrue="1">
      <formula>AND($T38&gt;0,$T38&lt;$M38*0.95)</formula>
    </cfRule>
  </conditionalFormatting>
  <conditionalFormatting sqref="W20:W34">
    <cfRule type="cellIs" dxfId="44" priority="37" stopIfTrue="1" operator="greaterThan">
      <formula>"$M3"</formula>
    </cfRule>
  </conditionalFormatting>
  <conditionalFormatting sqref="W38:W67">
    <cfRule type="cellIs" dxfId="43" priority="65" stopIfTrue="1" operator="greaterThan">
      <formula>$M38</formula>
    </cfRule>
    <cfRule type="expression" dxfId="42" priority="64" stopIfTrue="1">
      <formula>AND($W38&gt;0,$W38&lt;$M38*0.95)</formula>
    </cfRule>
  </conditionalFormatting>
  <conditionalFormatting sqref="Y93">
    <cfRule type="expression" dxfId="41" priority="49" stopIfTrue="1">
      <formula>IF($Y93="n/a",,$Y93&gt;0)</formula>
    </cfRule>
  </conditionalFormatting>
  <conditionalFormatting sqref="Y94">
    <cfRule type="expression" dxfId="40" priority="50" stopIfTrue="1">
      <formula>IF($Y94="n/a",,$Y94&gt;0)</formula>
    </cfRule>
  </conditionalFormatting>
  <conditionalFormatting sqref="Y95">
    <cfRule type="expression" dxfId="39" priority="51" stopIfTrue="1">
      <formula>IF($Y93="n/a",,$Y93&gt;0)</formula>
    </cfRule>
  </conditionalFormatting>
  <conditionalFormatting sqref="Z5:Z34">
    <cfRule type="cellIs" dxfId="38" priority="24" stopIfTrue="1" operator="greaterThan">
      <formula>"$M3"</formula>
    </cfRule>
  </conditionalFormatting>
  <conditionalFormatting sqref="Z38:Z67">
    <cfRule type="expression" dxfId="37" priority="74" stopIfTrue="1">
      <formula>AND($Z38&gt;0,$Z38&lt;$M38*0.95)</formula>
    </cfRule>
    <cfRule type="cellIs" dxfId="36" priority="75" stopIfTrue="1" operator="greaterThan">
      <formula>$M38</formula>
    </cfRule>
  </conditionalFormatting>
  <conditionalFormatting sqref="AC5:AC34">
    <cfRule type="cellIs" dxfId="35" priority="23" stopIfTrue="1" operator="greaterThan">
      <formula>"$M3"</formula>
    </cfRule>
  </conditionalFormatting>
  <conditionalFormatting sqref="AC38:AC67">
    <cfRule type="cellIs" dxfId="34" priority="69" stopIfTrue="1" operator="greaterThan">
      <formula>$M38</formula>
    </cfRule>
    <cfRule type="expression" dxfId="33" priority="68" stopIfTrue="1">
      <formula>AND($AC38&gt;0,$AC38&lt;$M38*0.95)</formula>
    </cfRule>
  </conditionalFormatting>
  <conditionalFormatting sqref="AC91:AC92">
    <cfRule type="expression" dxfId="32" priority="56" stopIfTrue="1">
      <formula>IF(AC91="n/a",,AC91&gt;0)</formula>
    </cfRule>
  </conditionalFormatting>
  <conditionalFormatting sqref="AE91">
    <cfRule type="expression" dxfId="31" priority="5" stopIfTrue="1">
      <formula>IF(AE91="n/a",,AE91&gt;0)</formula>
    </cfRule>
  </conditionalFormatting>
  <conditionalFormatting sqref="AE92">
    <cfRule type="expression" dxfId="30" priority="6" stopIfTrue="1">
      <formula>IF(AE92="n/a",,AE92&gt;0)</formula>
    </cfRule>
  </conditionalFormatting>
  <conditionalFormatting sqref="AF5:AF34">
    <cfRule type="cellIs" dxfId="29" priority="1" stopIfTrue="1" operator="greaterThan">
      <formula>"$M3"</formula>
    </cfRule>
  </conditionalFormatting>
  <conditionalFormatting sqref="AF38:AF67">
    <cfRule type="cellIs" dxfId="28" priority="9" stopIfTrue="1" operator="greaterThan">
      <formula>$M38</formula>
    </cfRule>
    <cfRule type="expression" dxfId="27" priority="8" stopIfTrue="1">
      <formula>AND($AC38&gt;0,$AC38&lt;$M38*0.95)</formula>
    </cfRule>
  </conditionalFormatting>
  <conditionalFormatting sqref="AF73:AF74 AF80:AF81 AF86">
    <cfRule type="cellIs" dxfId="26" priority="4" stopIfTrue="1" operator="equal">
      <formula>"YES"</formula>
    </cfRule>
  </conditionalFormatting>
  <conditionalFormatting sqref="AF91:AF92">
    <cfRule type="expression" dxfId="25" priority="7" stopIfTrue="1">
      <formula>IF(AF91="n/a",,AF91&gt;0)</formula>
    </cfRule>
  </conditionalFormatting>
  <conditionalFormatting sqref="AH93">
    <cfRule type="expression" dxfId="24" priority="58" stopIfTrue="1">
      <formula>IF($AH$93="n/a",,$AH$93&gt;0)</formula>
    </cfRule>
  </conditionalFormatting>
  <conditionalFormatting sqref="AH94 Y97:Y99">
    <cfRule type="expression" dxfId="23" priority="59" stopIfTrue="1">
      <formula>IF($AH$94="n/a",,$AH$94&gt;0)</formula>
    </cfRule>
  </conditionalFormatting>
  <conditionalFormatting sqref="AH95">
    <cfRule type="expression" dxfId="22" priority="60" stopIfTrue="1">
      <formula>IF($AH$95="n/a",,$AH$95&gt;0)</formula>
    </cfRule>
  </conditionalFormatting>
  <conditionalFormatting sqref="AI5:AI34">
    <cfRule type="cellIs" dxfId="21" priority="29" stopIfTrue="1" operator="greaterThan">
      <formula>"$M3"</formula>
    </cfRule>
  </conditionalFormatting>
  <conditionalFormatting sqref="AI38:AI67">
    <cfRule type="expression" dxfId="20" priority="70" stopIfTrue="1">
      <formula>AND($AI38&gt;0,$AI38&lt;$M38*0.95)</formula>
    </cfRule>
    <cfRule type="cellIs" dxfId="19" priority="71" stopIfTrue="1" operator="greaterThan">
      <formula>$M38</formula>
    </cfRule>
  </conditionalFormatting>
  <conditionalFormatting sqref="AL5:AL34">
    <cfRule type="cellIs" dxfId="18" priority="22" stopIfTrue="1" operator="greaterThan">
      <formula>"$M3"</formula>
    </cfRule>
  </conditionalFormatting>
  <conditionalFormatting sqref="AL38:AL67">
    <cfRule type="expression" dxfId="17" priority="72" stopIfTrue="1">
      <formula>AND($AL38&gt;0,$AL38&lt;$M38*0.95)</formula>
    </cfRule>
    <cfRule type="cellIs" dxfId="16" priority="73" stopIfTrue="1" operator="greaterThan">
      <formula>$M38</formula>
    </cfRule>
  </conditionalFormatting>
  <conditionalFormatting sqref="AN91">
    <cfRule type="expression" dxfId="15" priority="25" stopIfTrue="1">
      <formula>IF(AN91="n/a",,AN91&gt;0)</formula>
    </cfRule>
  </conditionalFormatting>
  <conditionalFormatting sqref="AN92">
    <cfRule type="expression" dxfId="14" priority="26" stopIfTrue="1">
      <formula>IF(AN92="n/a",,AN92&gt;0)</formula>
    </cfRule>
  </conditionalFormatting>
  <conditionalFormatting sqref="AO5:AO34">
    <cfRule type="cellIs" dxfId="13" priority="35" stopIfTrue="1" operator="greaterThan">
      <formula>"$M3"</formula>
    </cfRule>
  </conditionalFormatting>
  <conditionalFormatting sqref="AO38:AO67">
    <cfRule type="expression" dxfId="12" priority="79" stopIfTrue="1">
      <formula>AND($AO38&gt;0,$AO38&lt;$M38*0.95)</formula>
    </cfRule>
    <cfRule type="expression" dxfId="11" priority="80" stopIfTrue="1">
      <formula>AND($AO38&gt;0,$AO38&gt;$M38)</formula>
    </cfRule>
  </conditionalFormatting>
  <conditionalFormatting sqref="AR73:AR74">
    <cfRule type="cellIs" dxfId="10" priority="21" stopIfTrue="1" operator="equal">
      <formula>"YES"</formula>
    </cfRule>
  </conditionalFormatting>
  <conditionalFormatting sqref="AR78:AR79">
    <cfRule type="cellIs" dxfId="9" priority="20" stopIfTrue="1" operator="equal">
      <formula>"YES"</formula>
    </cfRule>
  </conditionalFormatting>
  <conditionalFormatting sqref="AR82:AR83">
    <cfRule type="cellIs" dxfId="8" priority="18" stopIfTrue="1" operator="equal">
      <formula>"YES"</formula>
    </cfRule>
  </conditionalFormatting>
  <conditionalFormatting sqref="AR95:AR96 AR98">
    <cfRule type="cellIs" dxfId="7" priority="17" stopIfTrue="1" operator="equal">
      <formula>"YES"</formula>
    </cfRule>
  </conditionalFormatting>
  <conditionalFormatting sqref="AR100:AR101">
    <cfRule type="cellIs" dxfId="6" priority="16" stopIfTrue="1" operator="equal">
      <formula>"YES"</formula>
    </cfRule>
  </conditionalFormatting>
  <conditionalFormatting sqref="AR105:AR106">
    <cfRule type="cellIs" dxfId="5" priority="15" stopIfTrue="1" operator="equal">
      <formula>"YES"</formula>
    </cfRule>
  </conditionalFormatting>
  <conditionalFormatting sqref="AR110:AR111">
    <cfRule type="cellIs" dxfId="4" priority="14" stopIfTrue="1" operator="equal">
      <formula>"YES"</formula>
    </cfRule>
  </conditionalFormatting>
  <conditionalFormatting sqref="AR117">
    <cfRule type="cellIs" dxfId="3" priority="13" stopIfTrue="1" operator="equal">
      <formula>"YES"</formula>
    </cfRule>
  </conditionalFormatting>
  <conditionalFormatting sqref="AR120">
    <cfRule type="cellIs" dxfId="2" priority="12" stopIfTrue="1" operator="equal">
      <formula>"YES"</formula>
    </cfRule>
  </conditionalFormatting>
  <conditionalFormatting sqref="AR123">
    <cfRule type="cellIs" dxfId="1" priority="11" stopIfTrue="1" operator="equal">
      <formula>"YES"</formula>
    </cfRule>
  </conditionalFormatting>
  <conditionalFormatting sqref="AR126">
    <cfRule type="cellIs" dxfId="0" priority="10" stopIfTrue="1" operator="equal">
      <formula>"YES"</formula>
    </cfRule>
  </conditionalFormatting>
  <dataValidations count="2">
    <dataValidation type="list" allowBlank="1" showDropDown="1" showErrorMessage="1" error="Input only &quot;1&quot;, &quot;2&quot;, or &quot;3&quot;" sqref="AQ5:AQ34" xr:uid="{DDDE4E9A-D8E2-412F-8EE7-B11E40E799C3}">
      <formula1>"1, 2, 3"</formula1>
    </dataValidation>
    <dataValidation type="list" allowBlank="1" showDropDown="1" showErrorMessage="1" error="Input only &quot;1&quot; or &quot;2&quot;" sqref="AR5:AR34" xr:uid="{E19A4519-888A-4369-B09F-9B0F811929A5}">
      <formula1>"1, 2"</formula1>
    </dataValidation>
  </dataValidations>
  <pageMargins left="0.31" right="0.31" top="0.61" bottom="0.2" header="0.5" footer="0.5"/>
  <pageSetup scale="55" orientation="landscape" r:id="rId1"/>
  <headerFooter alignWithMargins="0"/>
  <ignoredErrors>
    <ignoredError sqref="AP69" evalError="1"/>
    <ignoredError sqref="K38:K67 R38:R67 L38:L67 U38:U67 X38:X67 AA38:AA67 AD38:AD67 AG38:AG6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C335-0D40-4079-B059-BC00849C8218}">
  <dimension ref="A1:CQ16"/>
  <sheetViews>
    <sheetView showGridLines="0" zoomScale="80" zoomScaleNormal="80" workbookViewId="0">
      <pane xSplit="3" topLeftCell="D1" activePane="topRight" state="frozen"/>
      <selection activeCell="A4" sqref="A4"/>
      <selection pane="topRight" sqref="A1:C1"/>
    </sheetView>
  </sheetViews>
  <sheetFormatPr defaultColWidth="0" defaultRowHeight="15.5" zeroHeight="1" x14ac:dyDescent="0.35"/>
  <cols>
    <col min="1" max="1" width="70.7265625" style="7" customWidth="1"/>
    <col min="2" max="2" width="16.7265625" style="6" customWidth="1"/>
    <col min="3" max="3" width="30.7265625" style="6" customWidth="1"/>
    <col min="4" max="45" width="13.7265625" style="6" customWidth="1"/>
    <col min="46" max="48" width="13.7265625" style="28" customWidth="1"/>
    <col min="49" max="75" width="13.7265625" style="6" customWidth="1"/>
    <col min="76" max="78" width="13.7265625" style="28" customWidth="1"/>
    <col min="79" max="93" width="13.7265625" style="6" customWidth="1"/>
    <col min="94" max="95" width="17.7265625" style="6" customWidth="1"/>
    <col min="96" max="16384" width="8.7265625" style="6" hidden="1"/>
  </cols>
  <sheetData>
    <row r="1" spans="1:95" s="147" customFormat="1" ht="63" customHeight="1" x14ac:dyDescent="0.35">
      <c r="A1" s="170" t="s">
        <v>941</v>
      </c>
      <c r="B1" s="170"/>
      <c r="C1" s="170"/>
    </row>
    <row r="2" spans="1:95" s="132" customFormat="1" ht="31" customHeight="1" thickBot="1" x14ac:dyDescent="0.45">
      <c r="A2" s="173" t="s">
        <v>90</v>
      </c>
      <c r="B2" s="173"/>
      <c r="C2" s="173"/>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row>
    <row r="3" spans="1:95" s="93" customFormat="1" ht="31" customHeight="1" thickTop="1" x14ac:dyDescent="0.25">
      <c r="A3" s="172" t="s">
        <v>1</v>
      </c>
      <c r="B3" s="172"/>
      <c r="C3" s="172"/>
      <c r="D3" s="94">
        <v>1</v>
      </c>
      <c r="E3" s="94"/>
      <c r="F3" s="95"/>
      <c r="G3" s="96">
        <v>2</v>
      </c>
      <c r="H3" s="97"/>
      <c r="I3" s="98"/>
      <c r="J3" s="99">
        <v>3</v>
      </c>
      <c r="K3" s="94"/>
      <c r="L3" s="95"/>
      <c r="M3" s="96">
        <v>4</v>
      </c>
      <c r="N3" s="97"/>
      <c r="O3" s="98"/>
      <c r="P3" s="99">
        <v>5</v>
      </c>
      <c r="Q3" s="94"/>
      <c r="R3" s="95"/>
      <c r="S3" s="96">
        <v>6</v>
      </c>
      <c r="T3" s="97"/>
      <c r="U3" s="98"/>
      <c r="V3" s="99">
        <v>7</v>
      </c>
      <c r="W3" s="94"/>
      <c r="X3" s="95"/>
      <c r="Y3" s="96">
        <v>8</v>
      </c>
      <c r="Z3" s="97"/>
      <c r="AA3" s="98"/>
      <c r="AB3" s="99">
        <v>9</v>
      </c>
      <c r="AC3" s="94"/>
      <c r="AD3" s="95"/>
      <c r="AE3" s="96">
        <v>10</v>
      </c>
      <c r="AF3" s="97"/>
      <c r="AG3" s="98"/>
      <c r="AH3" s="99">
        <v>11</v>
      </c>
      <c r="AI3" s="94"/>
      <c r="AJ3" s="95"/>
      <c r="AK3" s="96">
        <v>12</v>
      </c>
      <c r="AL3" s="97"/>
      <c r="AM3" s="98"/>
      <c r="AN3" s="99">
        <v>13</v>
      </c>
      <c r="AO3" s="94"/>
      <c r="AP3" s="95"/>
      <c r="AQ3" s="96">
        <v>14</v>
      </c>
      <c r="AR3" s="97"/>
      <c r="AS3" s="98"/>
      <c r="AT3" s="99">
        <v>15</v>
      </c>
      <c r="AU3" s="94"/>
      <c r="AV3" s="95"/>
      <c r="AW3" s="96">
        <v>16</v>
      </c>
      <c r="AX3" s="97"/>
      <c r="AY3" s="98"/>
      <c r="AZ3" s="99">
        <v>17</v>
      </c>
      <c r="BA3" s="94"/>
      <c r="BB3" s="95"/>
      <c r="BC3" s="96">
        <v>18</v>
      </c>
      <c r="BD3" s="97"/>
      <c r="BE3" s="98"/>
      <c r="BF3" s="99">
        <v>19</v>
      </c>
      <c r="BG3" s="94"/>
      <c r="BH3" s="95"/>
      <c r="BI3" s="96">
        <v>20</v>
      </c>
      <c r="BJ3" s="97"/>
      <c r="BK3" s="98"/>
      <c r="BL3" s="99">
        <v>21</v>
      </c>
      <c r="BM3" s="94"/>
      <c r="BN3" s="95"/>
      <c r="BO3" s="96">
        <v>22</v>
      </c>
      <c r="BP3" s="97"/>
      <c r="BQ3" s="98"/>
      <c r="BR3" s="99">
        <v>23</v>
      </c>
      <c r="BS3" s="94"/>
      <c r="BT3" s="95"/>
      <c r="BU3" s="96">
        <v>24</v>
      </c>
      <c r="BV3" s="97"/>
      <c r="BW3" s="98"/>
      <c r="BX3" s="99">
        <v>25</v>
      </c>
      <c r="BY3" s="94"/>
      <c r="BZ3" s="95"/>
      <c r="CA3" s="96">
        <v>26</v>
      </c>
      <c r="CB3" s="97"/>
      <c r="CC3" s="98"/>
      <c r="CD3" s="99">
        <v>27</v>
      </c>
      <c r="CE3" s="94"/>
      <c r="CF3" s="95"/>
      <c r="CG3" s="96">
        <v>28</v>
      </c>
      <c r="CH3" s="97"/>
      <c r="CI3" s="98"/>
      <c r="CJ3" s="99">
        <v>29</v>
      </c>
      <c r="CK3" s="94"/>
      <c r="CL3" s="95"/>
      <c r="CM3" s="96">
        <v>30</v>
      </c>
      <c r="CN3" s="97"/>
      <c r="CO3" s="98"/>
    </row>
    <row r="4" spans="1:95" s="93" customFormat="1" ht="31" customHeight="1" x14ac:dyDescent="0.25">
      <c r="A4" s="171" t="s">
        <v>8</v>
      </c>
      <c r="B4" s="171"/>
      <c r="C4" s="171"/>
      <c r="D4" s="94"/>
      <c r="E4" s="94"/>
      <c r="F4" s="95"/>
      <c r="G4" s="96"/>
      <c r="H4" s="97"/>
      <c r="I4" s="98"/>
      <c r="J4" s="99"/>
      <c r="K4" s="94"/>
      <c r="L4" s="95"/>
      <c r="M4" s="96"/>
      <c r="N4" s="97"/>
      <c r="O4" s="98"/>
      <c r="P4" s="99"/>
      <c r="Q4" s="94"/>
      <c r="R4" s="95"/>
      <c r="S4" s="96"/>
      <c r="T4" s="97"/>
      <c r="U4" s="98"/>
      <c r="V4" s="99"/>
      <c r="W4" s="94"/>
      <c r="X4" s="95"/>
      <c r="Y4" s="96"/>
      <c r="Z4" s="97"/>
      <c r="AA4" s="98"/>
      <c r="AB4" s="99"/>
      <c r="AC4" s="94"/>
      <c r="AD4" s="95"/>
      <c r="AE4" s="96"/>
      <c r="AF4" s="97"/>
      <c r="AG4" s="98"/>
      <c r="AH4" s="99"/>
      <c r="AI4" s="94"/>
      <c r="AJ4" s="95"/>
      <c r="AK4" s="96"/>
      <c r="AL4" s="97"/>
      <c r="AM4" s="98"/>
      <c r="AN4" s="99"/>
      <c r="AO4" s="94"/>
      <c r="AP4" s="95"/>
      <c r="AQ4" s="96"/>
      <c r="AR4" s="97"/>
      <c r="AS4" s="98"/>
      <c r="AT4" s="99"/>
      <c r="AU4" s="94"/>
      <c r="AV4" s="95"/>
      <c r="AW4" s="96"/>
      <c r="AX4" s="97"/>
      <c r="AY4" s="98"/>
      <c r="AZ4" s="99"/>
      <c r="BA4" s="94"/>
      <c r="BB4" s="95"/>
      <c r="BC4" s="96"/>
      <c r="BD4" s="97"/>
      <c r="BE4" s="98"/>
      <c r="BF4" s="99"/>
      <c r="BG4" s="94"/>
      <c r="BH4" s="95"/>
      <c r="BI4" s="96"/>
      <c r="BJ4" s="97"/>
      <c r="BK4" s="98"/>
      <c r="BL4" s="99"/>
      <c r="BM4" s="94"/>
      <c r="BN4" s="95"/>
      <c r="BO4" s="96"/>
      <c r="BP4" s="97"/>
      <c r="BQ4" s="98"/>
      <c r="BR4" s="99"/>
      <c r="BS4" s="94"/>
      <c r="BT4" s="95"/>
      <c r="BU4" s="96"/>
      <c r="BV4" s="97"/>
      <c r="BW4" s="98"/>
      <c r="BX4" s="99"/>
      <c r="BY4" s="94"/>
      <c r="BZ4" s="95"/>
      <c r="CA4" s="96"/>
      <c r="CB4" s="97"/>
      <c r="CC4" s="98"/>
      <c r="CD4" s="99"/>
      <c r="CE4" s="94"/>
      <c r="CF4" s="95"/>
      <c r="CG4" s="96"/>
      <c r="CH4" s="97"/>
      <c r="CI4" s="98"/>
      <c r="CJ4" s="99"/>
      <c r="CK4" s="94"/>
      <c r="CL4" s="95"/>
      <c r="CM4" s="96"/>
      <c r="CN4" s="97"/>
      <c r="CO4" s="98"/>
    </row>
    <row r="5" spans="1:95" s="93" customFormat="1" ht="31" customHeight="1" x14ac:dyDescent="0.25">
      <c r="A5" s="171" t="s">
        <v>9</v>
      </c>
      <c r="B5" s="171"/>
      <c r="C5" s="171"/>
      <c r="D5" s="94"/>
      <c r="E5" s="94"/>
      <c r="F5" s="95"/>
      <c r="G5" s="96"/>
      <c r="H5" s="97"/>
      <c r="I5" s="98"/>
      <c r="J5" s="99"/>
      <c r="K5" s="94"/>
      <c r="L5" s="95"/>
      <c r="M5" s="96"/>
      <c r="N5" s="97"/>
      <c r="O5" s="98"/>
      <c r="P5" s="99"/>
      <c r="Q5" s="94"/>
      <c r="R5" s="95"/>
      <c r="S5" s="96"/>
      <c r="T5" s="97"/>
      <c r="U5" s="98"/>
      <c r="V5" s="99"/>
      <c r="W5" s="94"/>
      <c r="X5" s="95"/>
      <c r="Y5" s="96"/>
      <c r="Z5" s="97"/>
      <c r="AA5" s="98"/>
      <c r="AB5" s="99"/>
      <c r="AC5" s="94"/>
      <c r="AD5" s="95"/>
      <c r="AE5" s="96"/>
      <c r="AF5" s="97"/>
      <c r="AG5" s="98"/>
      <c r="AH5" s="99"/>
      <c r="AI5" s="94"/>
      <c r="AJ5" s="95"/>
      <c r="AK5" s="96"/>
      <c r="AL5" s="97"/>
      <c r="AM5" s="98"/>
      <c r="AN5" s="99"/>
      <c r="AO5" s="94"/>
      <c r="AP5" s="95"/>
      <c r="AQ5" s="96"/>
      <c r="AR5" s="97"/>
      <c r="AS5" s="98"/>
      <c r="AT5" s="99"/>
      <c r="AU5" s="94"/>
      <c r="AV5" s="95"/>
      <c r="AW5" s="96"/>
      <c r="AX5" s="97"/>
      <c r="AY5" s="98"/>
      <c r="AZ5" s="99"/>
      <c r="BA5" s="94"/>
      <c r="BB5" s="95"/>
      <c r="BC5" s="96"/>
      <c r="BD5" s="97"/>
      <c r="BE5" s="98"/>
      <c r="BF5" s="99"/>
      <c r="BG5" s="94"/>
      <c r="BH5" s="95"/>
      <c r="BI5" s="96"/>
      <c r="BJ5" s="97"/>
      <c r="BK5" s="98"/>
      <c r="BL5" s="99"/>
      <c r="BM5" s="94"/>
      <c r="BN5" s="95"/>
      <c r="BO5" s="96"/>
      <c r="BP5" s="97"/>
      <c r="BQ5" s="98"/>
      <c r="BR5" s="99"/>
      <c r="BS5" s="94"/>
      <c r="BT5" s="95"/>
      <c r="BU5" s="96"/>
      <c r="BV5" s="97"/>
      <c r="BW5" s="98"/>
      <c r="BX5" s="99"/>
      <c r="BY5" s="94"/>
      <c r="BZ5" s="95"/>
      <c r="CA5" s="96"/>
      <c r="CB5" s="97"/>
      <c r="CC5" s="98"/>
      <c r="CD5" s="99"/>
      <c r="CE5" s="94"/>
      <c r="CF5" s="95"/>
      <c r="CG5" s="96"/>
      <c r="CH5" s="97"/>
      <c r="CI5" s="98"/>
      <c r="CJ5" s="99"/>
      <c r="CK5" s="94"/>
      <c r="CL5" s="95"/>
      <c r="CM5" s="96"/>
      <c r="CN5" s="97"/>
      <c r="CO5" s="98"/>
      <c r="CP5" s="93" t="s">
        <v>91</v>
      </c>
    </row>
    <row r="6" spans="1:95" s="93" customFormat="1" ht="31" customHeight="1" thickBot="1" x14ac:dyDescent="0.3">
      <c r="A6" s="171" t="s">
        <v>10</v>
      </c>
      <c r="B6" s="171"/>
      <c r="C6" s="171"/>
      <c r="D6" s="100"/>
      <c r="E6" s="100"/>
      <c r="F6" s="101"/>
      <c r="G6" s="102"/>
      <c r="H6" s="103"/>
      <c r="I6" s="104"/>
      <c r="J6" s="105"/>
      <c r="K6" s="100"/>
      <c r="L6" s="101"/>
      <c r="M6" s="102"/>
      <c r="N6" s="103"/>
      <c r="O6" s="104"/>
      <c r="P6" s="105"/>
      <c r="Q6" s="100"/>
      <c r="R6" s="101"/>
      <c r="S6" s="102"/>
      <c r="T6" s="103"/>
      <c r="U6" s="104"/>
      <c r="V6" s="105"/>
      <c r="W6" s="100"/>
      <c r="X6" s="101"/>
      <c r="Y6" s="102"/>
      <c r="Z6" s="103"/>
      <c r="AA6" s="104"/>
      <c r="AB6" s="105"/>
      <c r="AC6" s="100"/>
      <c r="AD6" s="101"/>
      <c r="AE6" s="102"/>
      <c r="AF6" s="103"/>
      <c r="AG6" s="104"/>
      <c r="AH6" s="105"/>
      <c r="AI6" s="100"/>
      <c r="AJ6" s="101"/>
      <c r="AK6" s="102"/>
      <c r="AL6" s="103"/>
      <c r="AM6" s="104"/>
      <c r="AN6" s="105"/>
      <c r="AO6" s="100"/>
      <c r="AP6" s="101"/>
      <c r="AQ6" s="102"/>
      <c r="AR6" s="103"/>
      <c r="AS6" s="104"/>
      <c r="AT6" s="105"/>
      <c r="AU6" s="100"/>
      <c r="AV6" s="101"/>
      <c r="AW6" s="102"/>
      <c r="AX6" s="103"/>
      <c r="AY6" s="104"/>
      <c r="AZ6" s="105"/>
      <c r="BA6" s="100"/>
      <c r="BB6" s="101"/>
      <c r="BC6" s="102"/>
      <c r="BD6" s="103"/>
      <c r="BE6" s="104"/>
      <c r="BF6" s="105"/>
      <c r="BG6" s="100"/>
      <c r="BH6" s="101"/>
      <c r="BI6" s="102"/>
      <c r="BJ6" s="103"/>
      <c r="BK6" s="104"/>
      <c r="BL6" s="105"/>
      <c r="BM6" s="100"/>
      <c r="BN6" s="101"/>
      <c r="BO6" s="102"/>
      <c r="BP6" s="103"/>
      <c r="BQ6" s="104"/>
      <c r="BR6" s="105"/>
      <c r="BS6" s="100"/>
      <c r="BT6" s="101"/>
      <c r="BU6" s="102"/>
      <c r="BV6" s="103"/>
      <c r="BW6" s="104"/>
      <c r="BX6" s="105"/>
      <c r="BY6" s="100"/>
      <c r="BZ6" s="101"/>
      <c r="CA6" s="102"/>
      <c r="CB6" s="103"/>
      <c r="CC6" s="104"/>
      <c r="CD6" s="105"/>
      <c r="CE6" s="100"/>
      <c r="CF6" s="101"/>
      <c r="CG6" s="102"/>
      <c r="CH6" s="103"/>
      <c r="CI6" s="104"/>
      <c r="CJ6" s="105"/>
      <c r="CK6" s="100"/>
      <c r="CL6" s="101"/>
      <c r="CM6" s="102"/>
      <c r="CN6" s="103"/>
      <c r="CO6" s="104"/>
    </row>
    <row r="7" spans="1:95" s="116" customFormat="1" ht="31" customHeight="1" x14ac:dyDescent="0.25">
      <c r="A7" s="106" t="s">
        <v>92</v>
      </c>
      <c r="B7" s="107" t="s">
        <v>93</v>
      </c>
      <c r="C7" s="108" t="s">
        <v>94</v>
      </c>
      <c r="D7" s="109" t="s">
        <v>95</v>
      </c>
      <c r="E7" s="110" t="s">
        <v>96</v>
      </c>
      <c r="F7" s="111" t="s">
        <v>97</v>
      </c>
      <c r="G7" s="112" t="s">
        <v>95</v>
      </c>
      <c r="H7" s="113" t="s">
        <v>96</v>
      </c>
      <c r="I7" s="113" t="s">
        <v>97</v>
      </c>
      <c r="J7" s="109" t="s">
        <v>95</v>
      </c>
      <c r="K7" s="110" t="s">
        <v>96</v>
      </c>
      <c r="L7" s="111" t="s">
        <v>97</v>
      </c>
      <c r="M7" s="112" t="s">
        <v>95</v>
      </c>
      <c r="N7" s="113" t="s">
        <v>96</v>
      </c>
      <c r="O7" s="113" t="s">
        <v>97</v>
      </c>
      <c r="P7" s="109" t="s">
        <v>95</v>
      </c>
      <c r="Q7" s="110" t="s">
        <v>96</v>
      </c>
      <c r="R7" s="111" t="s">
        <v>97</v>
      </c>
      <c r="S7" s="112" t="s">
        <v>95</v>
      </c>
      <c r="T7" s="113" t="s">
        <v>96</v>
      </c>
      <c r="U7" s="113" t="s">
        <v>97</v>
      </c>
      <c r="V7" s="109" t="s">
        <v>95</v>
      </c>
      <c r="W7" s="110" t="s">
        <v>96</v>
      </c>
      <c r="X7" s="111" t="s">
        <v>97</v>
      </c>
      <c r="Y7" s="112" t="s">
        <v>95</v>
      </c>
      <c r="Z7" s="113" t="s">
        <v>96</v>
      </c>
      <c r="AA7" s="113" t="s">
        <v>97</v>
      </c>
      <c r="AB7" s="109" t="s">
        <v>95</v>
      </c>
      <c r="AC7" s="110" t="s">
        <v>96</v>
      </c>
      <c r="AD7" s="111" t="s">
        <v>97</v>
      </c>
      <c r="AE7" s="112" t="s">
        <v>95</v>
      </c>
      <c r="AF7" s="113" t="s">
        <v>96</v>
      </c>
      <c r="AG7" s="113" t="s">
        <v>97</v>
      </c>
      <c r="AH7" s="109" t="s">
        <v>95</v>
      </c>
      <c r="AI7" s="110" t="s">
        <v>96</v>
      </c>
      <c r="AJ7" s="111" t="s">
        <v>97</v>
      </c>
      <c r="AK7" s="112" t="s">
        <v>95</v>
      </c>
      <c r="AL7" s="113" t="s">
        <v>96</v>
      </c>
      <c r="AM7" s="113" t="s">
        <v>97</v>
      </c>
      <c r="AN7" s="109" t="s">
        <v>95</v>
      </c>
      <c r="AO7" s="110" t="s">
        <v>96</v>
      </c>
      <c r="AP7" s="111" t="s">
        <v>97</v>
      </c>
      <c r="AQ7" s="112" t="s">
        <v>95</v>
      </c>
      <c r="AR7" s="113" t="s">
        <v>96</v>
      </c>
      <c r="AS7" s="113" t="s">
        <v>97</v>
      </c>
      <c r="AT7" s="109" t="s">
        <v>95</v>
      </c>
      <c r="AU7" s="110" t="s">
        <v>96</v>
      </c>
      <c r="AV7" s="111" t="s">
        <v>97</v>
      </c>
      <c r="AW7" s="112" t="s">
        <v>95</v>
      </c>
      <c r="AX7" s="113" t="s">
        <v>96</v>
      </c>
      <c r="AY7" s="113" t="s">
        <v>97</v>
      </c>
      <c r="AZ7" s="109" t="s">
        <v>95</v>
      </c>
      <c r="BA7" s="110" t="s">
        <v>96</v>
      </c>
      <c r="BB7" s="111" t="s">
        <v>97</v>
      </c>
      <c r="BC7" s="112" t="s">
        <v>95</v>
      </c>
      <c r="BD7" s="113" t="s">
        <v>96</v>
      </c>
      <c r="BE7" s="113" t="s">
        <v>97</v>
      </c>
      <c r="BF7" s="109" t="s">
        <v>95</v>
      </c>
      <c r="BG7" s="110" t="s">
        <v>96</v>
      </c>
      <c r="BH7" s="111" t="s">
        <v>97</v>
      </c>
      <c r="BI7" s="112" t="s">
        <v>95</v>
      </c>
      <c r="BJ7" s="113" t="s">
        <v>96</v>
      </c>
      <c r="BK7" s="113" t="s">
        <v>97</v>
      </c>
      <c r="BL7" s="109" t="s">
        <v>95</v>
      </c>
      <c r="BM7" s="110" t="s">
        <v>96</v>
      </c>
      <c r="BN7" s="111" t="s">
        <v>97</v>
      </c>
      <c r="BO7" s="112" t="s">
        <v>95</v>
      </c>
      <c r="BP7" s="113" t="s">
        <v>96</v>
      </c>
      <c r="BQ7" s="113" t="s">
        <v>97</v>
      </c>
      <c r="BR7" s="109" t="s">
        <v>95</v>
      </c>
      <c r="BS7" s="110" t="s">
        <v>96</v>
      </c>
      <c r="BT7" s="111" t="s">
        <v>97</v>
      </c>
      <c r="BU7" s="112" t="s">
        <v>95</v>
      </c>
      <c r="BV7" s="113" t="s">
        <v>96</v>
      </c>
      <c r="BW7" s="113" t="s">
        <v>97</v>
      </c>
      <c r="BX7" s="109" t="s">
        <v>95</v>
      </c>
      <c r="BY7" s="110" t="s">
        <v>96</v>
      </c>
      <c r="BZ7" s="111" t="s">
        <v>97</v>
      </c>
      <c r="CA7" s="112" t="s">
        <v>95</v>
      </c>
      <c r="CB7" s="113" t="s">
        <v>96</v>
      </c>
      <c r="CC7" s="113" t="s">
        <v>97</v>
      </c>
      <c r="CD7" s="109" t="s">
        <v>95</v>
      </c>
      <c r="CE7" s="110" t="s">
        <v>96</v>
      </c>
      <c r="CF7" s="111" t="s">
        <v>97</v>
      </c>
      <c r="CG7" s="112" t="s">
        <v>95</v>
      </c>
      <c r="CH7" s="113" t="s">
        <v>96</v>
      </c>
      <c r="CI7" s="113" t="s">
        <v>97</v>
      </c>
      <c r="CJ7" s="109" t="s">
        <v>95</v>
      </c>
      <c r="CK7" s="110" t="s">
        <v>96</v>
      </c>
      <c r="CL7" s="111" t="s">
        <v>97</v>
      </c>
      <c r="CM7" s="112" t="s">
        <v>95</v>
      </c>
      <c r="CN7" s="113" t="s">
        <v>96</v>
      </c>
      <c r="CO7" s="113" t="s">
        <v>97</v>
      </c>
      <c r="CP7" s="114" t="s">
        <v>98</v>
      </c>
      <c r="CQ7" s="115" t="s">
        <v>99</v>
      </c>
    </row>
    <row r="8" spans="1:95" s="125" customFormat="1" ht="31" customHeight="1" x14ac:dyDescent="0.25">
      <c r="A8" s="117" t="s">
        <v>100</v>
      </c>
      <c r="B8" s="117"/>
      <c r="C8" s="118"/>
      <c r="D8" s="119"/>
      <c r="E8" s="120"/>
      <c r="F8" s="121"/>
      <c r="G8" s="122"/>
      <c r="H8" s="123"/>
      <c r="I8" s="123"/>
      <c r="J8" s="119"/>
      <c r="K8" s="120"/>
      <c r="L8" s="121"/>
      <c r="M8" s="122"/>
      <c r="N8" s="123"/>
      <c r="O8" s="123"/>
      <c r="P8" s="119"/>
      <c r="Q8" s="120"/>
      <c r="R8" s="121"/>
      <c r="S8" s="122"/>
      <c r="T8" s="123"/>
      <c r="U8" s="123"/>
      <c r="V8" s="119"/>
      <c r="W8" s="120"/>
      <c r="X8" s="121"/>
      <c r="Y8" s="122"/>
      <c r="Z8" s="123"/>
      <c r="AA8" s="123"/>
      <c r="AB8" s="119"/>
      <c r="AC8" s="120"/>
      <c r="AD8" s="121"/>
      <c r="AE8" s="122"/>
      <c r="AF8" s="123"/>
      <c r="AG8" s="123"/>
      <c r="AH8" s="119"/>
      <c r="AI8" s="120"/>
      <c r="AJ8" s="121"/>
      <c r="AK8" s="122"/>
      <c r="AL8" s="123"/>
      <c r="AM8" s="123"/>
      <c r="AN8" s="119"/>
      <c r="AO8" s="120"/>
      <c r="AP8" s="121"/>
      <c r="AQ8" s="122"/>
      <c r="AR8" s="123"/>
      <c r="AS8" s="123"/>
      <c r="AT8" s="119"/>
      <c r="AU8" s="120"/>
      <c r="AV8" s="121"/>
      <c r="AW8" s="122"/>
      <c r="AX8" s="123"/>
      <c r="AY8" s="123"/>
      <c r="AZ8" s="119"/>
      <c r="BA8" s="120"/>
      <c r="BB8" s="121"/>
      <c r="BC8" s="122"/>
      <c r="BD8" s="123"/>
      <c r="BE8" s="123"/>
      <c r="BF8" s="119"/>
      <c r="BG8" s="120"/>
      <c r="BH8" s="121"/>
      <c r="BI8" s="122"/>
      <c r="BJ8" s="123"/>
      <c r="BK8" s="123"/>
      <c r="BL8" s="119"/>
      <c r="BM8" s="120"/>
      <c r="BN8" s="121"/>
      <c r="BO8" s="122"/>
      <c r="BP8" s="123"/>
      <c r="BQ8" s="123"/>
      <c r="BR8" s="119"/>
      <c r="BS8" s="120"/>
      <c r="BT8" s="121"/>
      <c r="BU8" s="122"/>
      <c r="BV8" s="123"/>
      <c r="BW8" s="123"/>
      <c r="BX8" s="119"/>
      <c r="BY8" s="120"/>
      <c r="BZ8" s="121"/>
      <c r="CA8" s="122"/>
      <c r="CB8" s="123"/>
      <c r="CC8" s="123"/>
      <c r="CD8" s="119"/>
      <c r="CE8" s="120"/>
      <c r="CF8" s="121"/>
      <c r="CG8" s="122"/>
      <c r="CH8" s="123"/>
      <c r="CI8" s="123"/>
      <c r="CJ8" s="119"/>
      <c r="CK8" s="120"/>
      <c r="CL8" s="121"/>
      <c r="CM8" s="122"/>
      <c r="CN8" s="123"/>
      <c r="CO8" s="123"/>
      <c r="CP8" s="124" t="str">
        <f>IF(F8="","n/a",AVERAGE(F8,I8,L8,O8,R8,U8,X8,AA8,AD8,AG8,AJ8,AM8,AP8,AS8,AV8,AY8,BB8,BE8,BH8,BK8,BN8,BQ8,BT8,BW8,BZ8,CC8,CF8,CI8,CL8,CO8))</f>
        <v>n/a</v>
      </c>
      <c r="CQ8" s="124" t="str">
        <f>IF(F8="","n/a",STDEV(F8,I8,L8,O8,R8,U8,X8,AA8,AD8,AG8,AJ8,AM8,AP8,AS8,AV8,AY8,BB8,BE8,BH8,BK8,BN8,BQ8,BT8,BW8,BZ8,CC8,CF8,CI8,CL8,CO8))</f>
        <v>n/a</v>
      </c>
    </row>
    <row r="9" spans="1:95" s="125" customFormat="1" ht="31" customHeight="1" x14ac:dyDescent="0.25">
      <c r="A9" s="117" t="s">
        <v>101</v>
      </c>
      <c r="B9" s="117"/>
      <c r="C9" s="118"/>
      <c r="D9" s="119"/>
      <c r="E9" s="120"/>
      <c r="F9" s="121"/>
      <c r="G9" s="122"/>
      <c r="H9" s="123"/>
      <c r="I9" s="123"/>
      <c r="J9" s="119"/>
      <c r="K9" s="120"/>
      <c r="L9" s="121"/>
      <c r="M9" s="122"/>
      <c r="N9" s="123"/>
      <c r="O9" s="123"/>
      <c r="P9" s="119"/>
      <c r="Q9" s="120"/>
      <c r="R9" s="121"/>
      <c r="S9" s="122"/>
      <c r="T9" s="123"/>
      <c r="U9" s="123"/>
      <c r="V9" s="119"/>
      <c r="W9" s="120"/>
      <c r="X9" s="121"/>
      <c r="Y9" s="122"/>
      <c r="Z9" s="123"/>
      <c r="AA9" s="123"/>
      <c r="AB9" s="119"/>
      <c r="AC9" s="120"/>
      <c r="AD9" s="121"/>
      <c r="AE9" s="122"/>
      <c r="AF9" s="123"/>
      <c r="AG9" s="123"/>
      <c r="AH9" s="119"/>
      <c r="AI9" s="120"/>
      <c r="AJ9" s="121"/>
      <c r="AK9" s="122"/>
      <c r="AL9" s="123"/>
      <c r="AM9" s="123"/>
      <c r="AN9" s="119"/>
      <c r="AO9" s="120"/>
      <c r="AP9" s="121"/>
      <c r="AQ9" s="122"/>
      <c r="AR9" s="123"/>
      <c r="AS9" s="123"/>
      <c r="AT9" s="119"/>
      <c r="AU9" s="120"/>
      <c r="AV9" s="121"/>
      <c r="AW9" s="122"/>
      <c r="AX9" s="123"/>
      <c r="AY9" s="123"/>
      <c r="AZ9" s="119"/>
      <c r="BA9" s="120"/>
      <c r="BB9" s="121"/>
      <c r="BC9" s="122"/>
      <c r="BD9" s="123"/>
      <c r="BE9" s="123"/>
      <c r="BF9" s="119"/>
      <c r="BG9" s="120"/>
      <c r="BH9" s="121"/>
      <c r="BI9" s="122"/>
      <c r="BJ9" s="123"/>
      <c r="BK9" s="123"/>
      <c r="BL9" s="119"/>
      <c r="BM9" s="120"/>
      <c r="BN9" s="121"/>
      <c r="BO9" s="122"/>
      <c r="BP9" s="123"/>
      <c r="BQ9" s="123"/>
      <c r="BR9" s="119"/>
      <c r="BS9" s="120"/>
      <c r="BT9" s="121"/>
      <c r="BU9" s="122"/>
      <c r="BV9" s="123"/>
      <c r="BW9" s="123"/>
      <c r="BX9" s="119"/>
      <c r="BY9" s="120"/>
      <c r="BZ9" s="121"/>
      <c r="CA9" s="122"/>
      <c r="CB9" s="123"/>
      <c r="CC9" s="123"/>
      <c r="CD9" s="119"/>
      <c r="CE9" s="120"/>
      <c r="CF9" s="121"/>
      <c r="CG9" s="122"/>
      <c r="CH9" s="123"/>
      <c r="CI9" s="123"/>
      <c r="CJ9" s="119"/>
      <c r="CK9" s="120"/>
      <c r="CL9" s="121"/>
      <c r="CM9" s="122"/>
      <c r="CN9" s="123"/>
      <c r="CO9" s="123"/>
      <c r="CP9" s="124" t="str">
        <f t="shared" ref="CP9:CP16" si="0">IF(F9="","n/a",AVERAGE(F9,I9,L9,O9,R9,U9,X9,AA9,AD9,AG9,AJ9,AM9,AP9,AS9,AV9,AY9,BB9,BE9,BH9,BK9,BN9,BQ9,BT9,BW9,BZ9,CC9,CF9,CI9,CL9,CO9))</f>
        <v>n/a</v>
      </c>
      <c r="CQ9" s="124" t="str">
        <f t="shared" ref="CQ9:CQ16" si="1">IF(F9="","n/a",STDEV(F9,I9,L9,O9,R9,U9,X9,AA9,AD9,AG9,AJ9,AM9,AP9,AS9,AV9,AY9,BB9,BE9,BH9,BK9,BN9,BQ9,BT9,BW9,BZ9,CC9,CF9,CI9,CL9,CO9))</f>
        <v>n/a</v>
      </c>
    </row>
    <row r="10" spans="1:95" s="125" customFormat="1" ht="31" customHeight="1" x14ac:dyDescent="0.25">
      <c r="A10" s="117" t="s">
        <v>102</v>
      </c>
      <c r="B10" s="117"/>
      <c r="C10" s="118"/>
      <c r="D10" s="119"/>
      <c r="E10" s="120"/>
      <c r="F10" s="121"/>
      <c r="G10" s="122"/>
      <c r="H10" s="123"/>
      <c r="I10" s="123"/>
      <c r="J10" s="119"/>
      <c r="K10" s="120"/>
      <c r="L10" s="121"/>
      <c r="M10" s="122"/>
      <c r="N10" s="123"/>
      <c r="O10" s="123"/>
      <c r="P10" s="119"/>
      <c r="Q10" s="120"/>
      <c r="R10" s="121"/>
      <c r="S10" s="122"/>
      <c r="T10" s="123"/>
      <c r="U10" s="123"/>
      <c r="V10" s="119"/>
      <c r="W10" s="120"/>
      <c r="X10" s="121"/>
      <c r="Y10" s="122"/>
      <c r="Z10" s="123"/>
      <c r="AA10" s="123"/>
      <c r="AB10" s="119"/>
      <c r="AC10" s="120"/>
      <c r="AD10" s="121"/>
      <c r="AE10" s="122"/>
      <c r="AF10" s="123"/>
      <c r="AG10" s="123"/>
      <c r="AH10" s="119"/>
      <c r="AI10" s="120"/>
      <c r="AJ10" s="121"/>
      <c r="AK10" s="122"/>
      <c r="AL10" s="123"/>
      <c r="AM10" s="123"/>
      <c r="AN10" s="119"/>
      <c r="AO10" s="120"/>
      <c r="AP10" s="121"/>
      <c r="AQ10" s="122"/>
      <c r="AR10" s="123"/>
      <c r="AS10" s="123"/>
      <c r="AT10" s="119"/>
      <c r="AU10" s="120"/>
      <c r="AV10" s="121"/>
      <c r="AW10" s="122"/>
      <c r="AX10" s="123"/>
      <c r="AY10" s="123"/>
      <c r="AZ10" s="119"/>
      <c r="BA10" s="120"/>
      <c r="BB10" s="121"/>
      <c r="BC10" s="122"/>
      <c r="BD10" s="123"/>
      <c r="BE10" s="123"/>
      <c r="BF10" s="119"/>
      <c r="BG10" s="120"/>
      <c r="BH10" s="121"/>
      <c r="BI10" s="122"/>
      <c r="BJ10" s="123"/>
      <c r="BK10" s="123"/>
      <c r="BL10" s="119"/>
      <c r="BM10" s="120"/>
      <c r="BN10" s="121"/>
      <c r="BO10" s="122"/>
      <c r="BP10" s="123"/>
      <c r="BQ10" s="123"/>
      <c r="BR10" s="119"/>
      <c r="BS10" s="120"/>
      <c r="BT10" s="121"/>
      <c r="BU10" s="122"/>
      <c r="BV10" s="123"/>
      <c r="BW10" s="123"/>
      <c r="BX10" s="119"/>
      <c r="BY10" s="120"/>
      <c r="BZ10" s="121"/>
      <c r="CA10" s="122"/>
      <c r="CB10" s="123"/>
      <c r="CC10" s="123"/>
      <c r="CD10" s="119"/>
      <c r="CE10" s="120"/>
      <c r="CF10" s="121"/>
      <c r="CG10" s="122"/>
      <c r="CH10" s="123"/>
      <c r="CI10" s="123"/>
      <c r="CJ10" s="119"/>
      <c r="CK10" s="120"/>
      <c r="CL10" s="121"/>
      <c r="CM10" s="122"/>
      <c r="CN10" s="123"/>
      <c r="CO10" s="123"/>
      <c r="CP10" s="124" t="str">
        <f t="shared" si="0"/>
        <v>n/a</v>
      </c>
      <c r="CQ10" s="124" t="str">
        <f t="shared" si="1"/>
        <v>n/a</v>
      </c>
    </row>
    <row r="11" spans="1:95" s="125" customFormat="1" ht="31" customHeight="1" x14ac:dyDescent="0.25">
      <c r="A11" s="117" t="s">
        <v>103</v>
      </c>
      <c r="B11" s="117"/>
      <c r="C11" s="118"/>
      <c r="D11" s="119"/>
      <c r="E11" s="120"/>
      <c r="F11" s="121"/>
      <c r="G11" s="122"/>
      <c r="H11" s="123"/>
      <c r="I11" s="123"/>
      <c r="J11" s="119"/>
      <c r="K11" s="120"/>
      <c r="L11" s="121"/>
      <c r="M11" s="122"/>
      <c r="N11" s="123"/>
      <c r="O11" s="123"/>
      <c r="P11" s="119"/>
      <c r="Q11" s="120"/>
      <c r="R11" s="121"/>
      <c r="S11" s="122"/>
      <c r="T11" s="123"/>
      <c r="U11" s="123"/>
      <c r="V11" s="119"/>
      <c r="W11" s="120"/>
      <c r="X11" s="121"/>
      <c r="Y11" s="122"/>
      <c r="Z11" s="123"/>
      <c r="AA11" s="123"/>
      <c r="AB11" s="119"/>
      <c r="AC11" s="120"/>
      <c r="AD11" s="121"/>
      <c r="AE11" s="122"/>
      <c r="AF11" s="123"/>
      <c r="AG11" s="123"/>
      <c r="AH11" s="119"/>
      <c r="AI11" s="120"/>
      <c r="AJ11" s="121"/>
      <c r="AK11" s="122"/>
      <c r="AL11" s="123"/>
      <c r="AM11" s="123"/>
      <c r="AN11" s="119"/>
      <c r="AO11" s="120"/>
      <c r="AP11" s="121"/>
      <c r="AQ11" s="122"/>
      <c r="AR11" s="123"/>
      <c r="AS11" s="123"/>
      <c r="AT11" s="119"/>
      <c r="AU11" s="120"/>
      <c r="AV11" s="121"/>
      <c r="AW11" s="122"/>
      <c r="AX11" s="123"/>
      <c r="AY11" s="123"/>
      <c r="AZ11" s="119"/>
      <c r="BA11" s="120"/>
      <c r="BB11" s="121"/>
      <c r="BC11" s="122"/>
      <c r="BD11" s="123"/>
      <c r="BE11" s="123"/>
      <c r="BF11" s="119"/>
      <c r="BG11" s="120"/>
      <c r="BH11" s="121"/>
      <c r="BI11" s="122"/>
      <c r="BJ11" s="123"/>
      <c r="BK11" s="123"/>
      <c r="BL11" s="119"/>
      <c r="BM11" s="120"/>
      <c r="BN11" s="121"/>
      <c r="BO11" s="122"/>
      <c r="BP11" s="123"/>
      <c r="BQ11" s="123"/>
      <c r="BR11" s="119"/>
      <c r="BS11" s="120"/>
      <c r="BT11" s="121"/>
      <c r="BU11" s="122"/>
      <c r="BV11" s="123"/>
      <c r="BW11" s="123"/>
      <c r="BX11" s="119"/>
      <c r="BY11" s="120"/>
      <c r="BZ11" s="121"/>
      <c r="CA11" s="122"/>
      <c r="CB11" s="123"/>
      <c r="CC11" s="123"/>
      <c r="CD11" s="119"/>
      <c r="CE11" s="120"/>
      <c r="CF11" s="121"/>
      <c r="CG11" s="122"/>
      <c r="CH11" s="123"/>
      <c r="CI11" s="123"/>
      <c r="CJ11" s="119"/>
      <c r="CK11" s="120"/>
      <c r="CL11" s="121"/>
      <c r="CM11" s="122"/>
      <c r="CN11" s="123"/>
      <c r="CO11" s="123"/>
      <c r="CP11" s="124" t="str">
        <f t="shared" si="0"/>
        <v>n/a</v>
      </c>
      <c r="CQ11" s="124" t="str">
        <f t="shared" si="1"/>
        <v>n/a</v>
      </c>
    </row>
    <row r="12" spans="1:95" s="125" customFormat="1" ht="31" customHeight="1" x14ac:dyDescent="0.25">
      <c r="A12" s="117" t="s">
        <v>104</v>
      </c>
      <c r="B12" s="117"/>
      <c r="C12" s="118"/>
      <c r="D12" s="119"/>
      <c r="E12" s="120"/>
      <c r="F12" s="121"/>
      <c r="G12" s="122"/>
      <c r="H12" s="123"/>
      <c r="I12" s="123"/>
      <c r="J12" s="119"/>
      <c r="K12" s="120"/>
      <c r="L12" s="121"/>
      <c r="M12" s="122"/>
      <c r="N12" s="123"/>
      <c r="O12" s="123"/>
      <c r="P12" s="119"/>
      <c r="Q12" s="120"/>
      <c r="R12" s="121"/>
      <c r="S12" s="122"/>
      <c r="T12" s="123"/>
      <c r="U12" s="123"/>
      <c r="V12" s="119"/>
      <c r="W12" s="120"/>
      <c r="X12" s="121"/>
      <c r="Y12" s="122"/>
      <c r="Z12" s="123"/>
      <c r="AA12" s="123"/>
      <c r="AB12" s="119"/>
      <c r="AC12" s="120"/>
      <c r="AD12" s="121"/>
      <c r="AE12" s="122"/>
      <c r="AF12" s="123"/>
      <c r="AG12" s="123"/>
      <c r="AH12" s="119"/>
      <c r="AI12" s="120"/>
      <c r="AJ12" s="121"/>
      <c r="AK12" s="122"/>
      <c r="AL12" s="123"/>
      <c r="AM12" s="123"/>
      <c r="AN12" s="119"/>
      <c r="AO12" s="120"/>
      <c r="AP12" s="121"/>
      <c r="AQ12" s="122"/>
      <c r="AR12" s="123"/>
      <c r="AS12" s="123"/>
      <c r="AT12" s="119"/>
      <c r="AU12" s="120"/>
      <c r="AV12" s="121"/>
      <c r="AW12" s="122"/>
      <c r="AX12" s="123"/>
      <c r="AY12" s="123"/>
      <c r="AZ12" s="119"/>
      <c r="BA12" s="120"/>
      <c r="BB12" s="121"/>
      <c r="BC12" s="122"/>
      <c r="BD12" s="123"/>
      <c r="BE12" s="123"/>
      <c r="BF12" s="119"/>
      <c r="BG12" s="120"/>
      <c r="BH12" s="121"/>
      <c r="BI12" s="122"/>
      <c r="BJ12" s="123"/>
      <c r="BK12" s="123"/>
      <c r="BL12" s="119"/>
      <c r="BM12" s="120"/>
      <c r="BN12" s="121"/>
      <c r="BO12" s="122"/>
      <c r="BP12" s="123"/>
      <c r="BQ12" s="123"/>
      <c r="BR12" s="119"/>
      <c r="BS12" s="120"/>
      <c r="BT12" s="121"/>
      <c r="BU12" s="122"/>
      <c r="BV12" s="123"/>
      <c r="BW12" s="123"/>
      <c r="BX12" s="119"/>
      <c r="BY12" s="120"/>
      <c r="BZ12" s="121"/>
      <c r="CA12" s="122"/>
      <c r="CB12" s="123"/>
      <c r="CC12" s="123"/>
      <c r="CD12" s="119"/>
      <c r="CE12" s="120"/>
      <c r="CF12" s="121"/>
      <c r="CG12" s="122"/>
      <c r="CH12" s="123"/>
      <c r="CI12" s="123"/>
      <c r="CJ12" s="119"/>
      <c r="CK12" s="120"/>
      <c r="CL12" s="121"/>
      <c r="CM12" s="122"/>
      <c r="CN12" s="123"/>
      <c r="CO12" s="123"/>
      <c r="CP12" s="124" t="str">
        <f t="shared" si="0"/>
        <v>n/a</v>
      </c>
      <c r="CQ12" s="124" t="str">
        <f t="shared" si="1"/>
        <v>n/a</v>
      </c>
    </row>
    <row r="13" spans="1:95" s="125" customFormat="1" ht="31" customHeight="1" x14ac:dyDescent="0.25">
      <c r="A13" s="117" t="s">
        <v>105</v>
      </c>
      <c r="B13" s="117"/>
      <c r="C13" s="118"/>
      <c r="D13" s="119"/>
      <c r="E13" s="120"/>
      <c r="F13" s="121"/>
      <c r="G13" s="122"/>
      <c r="H13" s="123"/>
      <c r="I13" s="123"/>
      <c r="J13" s="119"/>
      <c r="K13" s="120"/>
      <c r="L13" s="121"/>
      <c r="M13" s="122"/>
      <c r="N13" s="123"/>
      <c r="O13" s="123"/>
      <c r="P13" s="119"/>
      <c r="Q13" s="120"/>
      <c r="R13" s="121"/>
      <c r="S13" s="122"/>
      <c r="T13" s="123"/>
      <c r="U13" s="123"/>
      <c r="V13" s="119"/>
      <c r="W13" s="120"/>
      <c r="X13" s="121"/>
      <c r="Y13" s="122"/>
      <c r="Z13" s="123"/>
      <c r="AA13" s="123"/>
      <c r="AB13" s="119"/>
      <c r="AC13" s="120"/>
      <c r="AD13" s="121"/>
      <c r="AE13" s="122"/>
      <c r="AF13" s="123"/>
      <c r="AG13" s="123"/>
      <c r="AH13" s="119"/>
      <c r="AI13" s="120"/>
      <c r="AJ13" s="121"/>
      <c r="AK13" s="122"/>
      <c r="AL13" s="123"/>
      <c r="AM13" s="123"/>
      <c r="AN13" s="119"/>
      <c r="AO13" s="120"/>
      <c r="AP13" s="121"/>
      <c r="AQ13" s="122"/>
      <c r="AR13" s="123"/>
      <c r="AS13" s="123"/>
      <c r="AT13" s="119"/>
      <c r="AU13" s="120"/>
      <c r="AV13" s="121"/>
      <c r="AW13" s="122"/>
      <c r="AX13" s="123"/>
      <c r="AY13" s="123"/>
      <c r="AZ13" s="119"/>
      <c r="BA13" s="120"/>
      <c r="BB13" s="121"/>
      <c r="BC13" s="122"/>
      <c r="BD13" s="123"/>
      <c r="BE13" s="123"/>
      <c r="BF13" s="119"/>
      <c r="BG13" s="120"/>
      <c r="BH13" s="121"/>
      <c r="BI13" s="122"/>
      <c r="BJ13" s="123"/>
      <c r="BK13" s="123"/>
      <c r="BL13" s="119"/>
      <c r="BM13" s="120"/>
      <c r="BN13" s="121"/>
      <c r="BO13" s="122"/>
      <c r="BP13" s="123"/>
      <c r="BQ13" s="123"/>
      <c r="BR13" s="119"/>
      <c r="BS13" s="120"/>
      <c r="BT13" s="121"/>
      <c r="BU13" s="122"/>
      <c r="BV13" s="123"/>
      <c r="BW13" s="123"/>
      <c r="BX13" s="119"/>
      <c r="BY13" s="120"/>
      <c r="BZ13" s="121"/>
      <c r="CA13" s="122"/>
      <c r="CB13" s="123"/>
      <c r="CC13" s="123"/>
      <c r="CD13" s="119"/>
      <c r="CE13" s="120"/>
      <c r="CF13" s="121"/>
      <c r="CG13" s="122"/>
      <c r="CH13" s="123"/>
      <c r="CI13" s="123"/>
      <c r="CJ13" s="119"/>
      <c r="CK13" s="120"/>
      <c r="CL13" s="121"/>
      <c r="CM13" s="122"/>
      <c r="CN13" s="123"/>
      <c r="CO13" s="123"/>
      <c r="CP13" s="124" t="str">
        <f t="shared" si="0"/>
        <v>n/a</v>
      </c>
      <c r="CQ13" s="124" t="str">
        <f t="shared" si="1"/>
        <v>n/a</v>
      </c>
    </row>
    <row r="14" spans="1:95" s="125" customFormat="1" ht="31" customHeight="1" x14ac:dyDescent="0.25">
      <c r="A14" s="117" t="s">
        <v>106</v>
      </c>
      <c r="B14" s="117"/>
      <c r="C14" s="118"/>
      <c r="D14" s="119"/>
      <c r="E14" s="120"/>
      <c r="F14" s="121"/>
      <c r="G14" s="122"/>
      <c r="H14" s="123"/>
      <c r="I14" s="123"/>
      <c r="J14" s="119"/>
      <c r="K14" s="120"/>
      <c r="L14" s="121"/>
      <c r="M14" s="122"/>
      <c r="N14" s="123"/>
      <c r="O14" s="123"/>
      <c r="P14" s="119"/>
      <c r="Q14" s="120"/>
      <c r="R14" s="121"/>
      <c r="S14" s="122"/>
      <c r="T14" s="123"/>
      <c r="U14" s="123"/>
      <c r="V14" s="119"/>
      <c r="W14" s="120"/>
      <c r="X14" s="121"/>
      <c r="Y14" s="122"/>
      <c r="Z14" s="123"/>
      <c r="AA14" s="123"/>
      <c r="AB14" s="119"/>
      <c r="AC14" s="120"/>
      <c r="AD14" s="121"/>
      <c r="AE14" s="122"/>
      <c r="AF14" s="123"/>
      <c r="AG14" s="123"/>
      <c r="AH14" s="119"/>
      <c r="AI14" s="120"/>
      <c r="AJ14" s="121"/>
      <c r="AK14" s="122"/>
      <c r="AL14" s="123"/>
      <c r="AM14" s="123"/>
      <c r="AN14" s="119"/>
      <c r="AO14" s="120"/>
      <c r="AP14" s="121"/>
      <c r="AQ14" s="122"/>
      <c r="AR14" s="123"/>
      <c r="AS14" s="123"/>
      <c r="AT14" s="119"/>
      <c r="AU14" s="120"/>
      <c r="AV14" s="121"/>
      <c r="AW14" s="122"/>
      <c r="AX14" s="123"/>
      <c r="AY14" s="123"/>
      <c r="AZ14" s="119"/>
      <c r="BA14" s="120"/>
      <c r="BB14" s="121"/>
      <c r="BC14" s="122"/>
      <c r="BD14" s="123"/>
      <c r="BE14" s="123"/>
      <c r="BF14" s="119"/>
      <c r="BG14" s="120"/>
      <c r="BH14" s="121"/>
      <c r="BI14" s="122"/>
      <c r="BJ14" s="123"/>
      <c r="BK14" s="123"/>
      <c r="BL14" s="119"/>
      <c r="BM14" s="120"/>
      <c r="BN14" s="121"/>
      <c r="BO14" s="122"/>
      <c r="BP14" s="123"/>
      <c r="BQ14" s="123"/>
      <c r="BR14" s="119"/>
      <c r="BS14" s="120"/>
      <c r="BT14" s="121"/>
      <c r="BU14" s="122"/>
      <c r="BV14" s="123"/>
      <c r="BW14" s="123"/>
      <c r="BX14" s="119"/>
      <c r="BY14" s="120"/>
      <c r="BZ14" s="121"/>
      <c r="CA14" s="122"/>
      <c r="CB14" s="123"/>
      <c r="CC14" s="123"/>
      <c r="CD14" s="119"/>
      <c r="CE14" s="120"/>
      <c r="CF14" s="121"/>
      <c r="CG14" s="122"/>
      <c r="CH14" s="123"/>
      <c r="CI14" s="123"/>
      <c r="CJ14" s="119"/>
      <c r="CK14" s="120"/>
      <c r="CL14" s="121"/>
      <c r="CM14" s="122"/>
      <c r="CN14" s="123"/>
      <c r="CO14" s="123"/>
      <c r="CP14" s="124" t="str">
        <f t="shared" si="0"/>
        <v>n/a</v>
      </c>
      <c r="CQ14" s="124" t="str">
        <f t="shared" si="1"/>
        <v>n/a</v>
      </c>
    </row>
    <row r="15" spans="1:95" s="125" customFormat="1" ht="31" customHeight="1" x14ac:dyDescent="0.25">
      <c r="A15" s="117" t="s">
        <v>107</v>
      </c>
      <c r="B15" s="117"/>
      <c r="C15" s="118"/>
      <c r="D15" s="119"/>
      <c r="E15" s="120"/>
      <c r="F15" s="121"/>
      <c r="G15" s="122"/>
      <c r="H15" s="123"/>
      <c r="I15" s="123"/>
      <c r="J15" s="119"/>
      <c r="K15" s="120"/>
      <c r="L15" s="121"/>
      <c r="M15" s="122"/>
      <c r="N15" s="123"/>
      <c r="O15" s="123"/>
      <c r="P15" s="119"/>
      <c r="Q15" s="120"/>
      <c r="R15" s="121"/>
      <c r="S15" s="122"/>
      <c r="T15" s="123"/>
      <c r="U15" s="123"/>
      <c r="V15" s="119"/>
      <c r="W15" s="120"/>
      <c r="X15" s="121"/>
      <c r="Y15" s="122"/>
      <c r="Z15" s="123"/>
      <c r="AA15" s="123"/>
      <c r="AB15" s="119"/>
      <c r="AC15" s="120"/>
      <c r="AD15" s="121"/>
      <c r="AE15" s="122"/>
      <c r="AF15" s="123"/>
      <c r="AG15" s="123"/>
      <c r="AH15" s="119"/>
      <c r="AI15" s="120"/>
      <c r="AJ15" s="121"/>
      <c r="AK15" s="122"/>
      <c r="AL15" s="123"/>
      <c r="AM15" s="123"/>
      <c r="AN15" s="119"/>
      <c r="AO15" s="120"/>
      <c r="AP15" s="121"/>
      <c r="AQ15" s="122"/>
      <c r="AR15" s="123"/>
      <c r="AS15" s="123"/>
      <c r="AT15" s="119"/>
      <c r="AU15" s="120"/>
      <c r="AV15" s="121"/>
      <c r="AW15" s="122"/>
      <c r="AX15" s="123"/>
      <c r="AY15" s="123"/>
      <c r="AZ15" s="119"/>
      <c r="BA15" s="120"/>
      <c r="BB15" s="121"/>
      <c r="BC15" s="122"/>
      <c r="BD15" s="123"/>
      <c r="BE15" s="123"/>
      <c r="BF15" s="119"/>
      <c r="BG15" s="120"/>
      <c r="BH15" s="121"/>
      <c r="BI15" s="122"/>
      <c r="BJ15" s="123"/>
      <c r="BK15" s="123"/>
      <c r="BL15" s="119"/>
      <c r="BM15" s="120"/>
      <c r="BN15" s="121"/>
      <c r="BO15" s="122"/>
      <c r="BP15" s="123"/>
      <c r="BQ15" s="123"/>
      <c r="BR15" s="119"/>
      <c r="BS15" s="120"/>
      <c r="BT15" s="121"/>
      <c r="BU15" s="122"/>
      <c r="BV15" s="123"/>
      <c r="BW15" s="123"/>
      <c r="BX15" s="119"/>
      <c r="BY15" s="120"/>
      <c r="BZ15" s="121"/>
      <c r="CA15" s="122"/>
      <c r="CB15" s="123"/>
      <c r="CC15" s="123"/>
      <c r="CD15" s="119"/>
      <c r="CE15" s="120"/>
      <c r="CF15" s="121"/>
      <c r="CG15" s="122"/>
      <c r="CH15" s="123"/>
      <c r="CI15" s="123"/>
      <c r="CJ15" s="119"/>
      <c r="CK15" s="120"/>
      <c r="CL15" s="121"/>
      <c r="CM15" s="122"/>
      <c r="CN15" s="123"/>
      <c r="CO15" s="123"/>
      <c r="CP15" s="124" t="str">
        <f t="shared" si="0"/>
        <v>n/a</v>
      </c>
      <c r="CQ15" s="124" t="str">
        <f t="shared" si="1"/>
        <v>n/a</v>
      </c>
    </row>
    <row r="16" spans="1:95" s="125" customFormat="1" ht="31" customHeight="1" x14ac:dyDescent="0.25">
      <c r="A16" s="117" t="s">
        <v>108</v>
      </c>
      <c r="B16" s="117"/>
      <c r="C16" s="118"/>
      <c r="D16" s="119"/>
      <c r="E16" s="120"/>
      <c r="F16" s="121"/>
      <c r="G16" s="122"/>
      <c r="H16" s="123"/>
      <c r="I16" s="123"/>
      <c r="J16" s="119"/>
      <c r="K16" s="120"/>
      <c r="L16" s="121"/>
      <c r="M16" s="122"/>
      <c r="N16" s="123"/>
      <c r="O16" s="123"/>
      <c r="P16" s="119"/>
      <c r="Q16" s="120"/>
      <c r="R16" s="121"/>
      <c r="S16" s="122"/>
      <c r="T16" s="123"/>
      <c r="U16" s="123"/>
      <c r="V16" s="119"/>
      <c r="W16" s="120"/>
      <c r="X16" s="121"/>
      <c r="Y16" s="122"/>
      <c r="Z16" s="123"/>
      <c r="AA16" s="123"/>
      <c r="AB16" s="119"/>
      <c r="AC16" s="120"/>
      <c r="AD16" s="121"/>
      <c r="AE16" s="122"/>
      <c r="AF16" s="123"/>
      <c r="AG16" s="123"/>
      <c r="AH16" s="119"/>
      <c r="AI16" s="120"/>
      <c r="AJ16" s="121"/>
      <c r="AK16" s="122"/>
      <c r="AL16" s="123"/>
      <c r="AM16" s="123"/>
      <c r="AN16" s="119"/>
      <c r="AO16" s="120"/>
      <c r="AP16" s="121"/>
      <c r="AQ16" s="122"/>
      <c r="AR16" s="123"/>
      <c r="AS16" s="123"/>
      <c r="AT16" s="119"/>
      <c r="AU16" s="120"/>
      <c r="AV16" s="121"/>
      <c r="AW16" s="122"/>
      <c r="AX16" s="123"/>
      <c r="AY16" s="123"/>
      <c r="AZ16" s="119"/>
      <c r="BA16" s="120"/>
      <c r="BB16" s="121"/>
      <c r="BC16" s="122"/>
      <c r="BD16" s="123"/>
      <c r="BE16" s="123"/>
      <c r="BF16" s="119"/>
      <c r="BG16" s="120"/>
      <c r="BH16" s="121"/>
      <c r="BI16" s="122"/>
      <c r="BJ16" s="123"/>
      <c r="BK16" s="123"/>
      <c r="BL16" s="119"/>
      <c r="BM16" s="120"/>
      <c r="BN16" s="121"/>
      <c r="BO16" s="122"/>
      <c r="BP16" s="123"/>
      <c r="BQ16" s="123"/>
      <c r="BR16" s="119"/>
      <c r="BS16" s="120"/>
      <c r="BT16" s="121"/>
      <c r="BU16" s="122"/>
      <c r="BV16" s="123"/>
      <c r="BW16" s="123"/>
      <c r="BX16" s="119"/>
      <c r="BY16" s="120"/>
      <c r="BZ16" s="121"/>
      <c r="CA16" s="122"/>
      <c r="CB16" s="123"/>
      <c r="CC16" s="123"/>
      <c r="CD16" s="119"/>
      <c r="CE16" s="120"/>
      <c r="CF16" s="121"/>
      <c r="CG16" s="122"/>
      <c r="CH16" s="123"/>
      <c r="CI16" s="123"/>
      <c r="CJ16" s="119"/>
      <c r="CK16" s="120"/>
      <c r="CL16" s="121"/>
      <c r="CM16" s="122"/>
      <c r="CN16" s="123"/>
      <c r="CO16" s="123"/>
      <c r="CP16" s="124" t="str">
        <f t="shared" si="0"/>
        <v>n/a</v>
      </c>
      <c r="CQ16" s="124" t="str">
        <f t="shared" si="1"/>
        <v>n/a</v>
      </c>
    </row>
  </sheetData>
  <mergeCells count="6">
    <mergeCell ref="A1:C1"/>
    <mergeCell ref="A5:C5"/>
    <mergeCell ref="A6:C6"/>
    <mergeCell ref="A3:C3"/>
    <mergeCell ref="A4:C4"/>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FD8D-0BBE-4F86-BBFF-C8BE36BFF05A}">
  <dimension ref="A1:DU32"/>
  <sheetViews>
    <sheetView showGridLines="0" zoomScale="80" zoomScaleNormal="80" workbookViewId="0">
      <pane xSplit="3" topLeftCell="D1" activePane="topRight" state="frozen"/>
      <selection activeCell="A4" sqref="A4"/>
      <selection pane="topRight" sqref="A1:C1"/>
    </sheetView>
  </sheetViews>
  <sheetFormatPr defaultColWidth="0" defaultRowHeight="15.5" zeroHeight="1" x14ac:dyDescent="0.35"/>
  <cols>
    <col min="1" max="1" width="14.7265625" style="8" customWidth="1"/>
    <col min="2" max="2" width="15.7265625" style="8" customWidth="1"/>
    <col min="3" max="3" width="30.7265625" style="8" customWidth="1"/>
    <col min="4" max="4" width="18.26953125" style="3" bestFit="1" customWidth="1"/>
    <col min="5" max="5" width="20.7265625" style="3" bestFit="1" customWidth="1"/>
    <col min="6" max="6" width="10" style="3" customWidth="1"/>
    <col min="7" max="7" width="15.7265625" style="3" bestFit="1" customWidth="1"/>
    <col min="8" max="8" width="18.26953125" style="3" bestFit="1" customWidth="1"/>
    <col min="9" max="9" width="20.7265625" style="3" bestFit="1" customWidth="1"/>
    <col min="10" max="10" width="10" style="3" customWidth="1"/>
    <col min="11" max="11" width="15.7265625" style="3" bestFit="1" customWidth="1"/>
    <col min="12" max="12" width="18.26953125" style="56" bestFit="1" customWidth="1"/>
    <col min="13" max="13" width="20.7265625" style="56" bestFit="1" customWidth="1"/>
    <col min="14" max="14" width="10" style="56" customWidth="1"/>
    <col min="15" max="15" width="15.7265625" style="56" bestFit="1" customWidth="1"/>
    <col min="16" max="16" width="18.26953125" style="3" bestFit="1" customWidth="1"/>
    <col min="17" max="17" width="20.7265625" style="3" bestFit="1" customWidth="1"/>
    <col min="18" max="18" width="10" style="3" customWidth="1"/>
    <col min="19" max="19" width="15.7265625" style="3" bestFit="1" customWidth="1"/>
    <col min="20" max="20" width="18.26953125" style="56" bestFit="1" customWidth="1"/>
    <col min="21" max="21" width="20.7265625" style="56" bestFit="1" customWidth="1"/>
    <col min="22" max="22" width="10" style="56" customWidth="1"/>
    <col min="23" max="23" width="15.7265625" style="56" bestFit="1" customWidth="1"/>
    <col min="24" max="24" width="18.26953125" style="3" bestFit="1" customWidth="1"/>
    <col min="25" max="25" width="20.7265625" style="3" bestFit="1" customWidth="1"/>
    <col min="26" max="26" width="10" style="3" customWidth="1"/>
    <col min="27" max="27" width="15.7265625" style="3" bestFit="1" customWidth="1"/>
    <col min="28" max="28" width="18.26953125" style="56" bestFit="1" customWidth="1"/>
    <col min="29" max="29" width="20.7265625" style="56" bestFit="1" customWidth="1"/>
    <col min="30" max="30" width="10" style="56" customWidth="1"/>
    <col min="31" max="31" width="15.7265625" style="56" bestFit="1" customWidth="1"/>
    <col min="32" max="32" width="18.26953125" style="3" bestFit="1" customWidth="1"/>
    <col min="33" max="33" width="20.7265625" style="3" bestFit="1" customWidth="1"/>
    <col min="34" max="34" width="10" style="3" customWidth="1"/>
    <col min="35" max="35" width="15.7265625" style="3" bestFit="1" customWidth="1"/>
    <col min="36" max="36" width="18.26953125" style="56" bestFit="1" customWidth="1"/>
    <col min="37" max="37" width="20.7265625" style="56" bestFit="1" customWidth="1"/>
    <col min="38" max="38" width="10" style="56" customWidth="1"/>
    <col min="39" max="39" width="15.7265625" style="56" bestFit="1" customWidth="1"/>
    <col min="40" max="40" width="18.26953125" style="3" bestFit="1" customWidth="1"/>
    <col min="41" max="41" width="20.7265625" style="3" bestFit="1" customWidth="1"/>
    <col min="42" max="42" width="10" style="3" customWidth="1"/>
    <col min="43" max="43" width="15.7265625" style="3" bestFit="1" customWidth="1"/>
    <col min="44" max="44" width="18.26953125" style="56" bestFit="1" customWidth="1"/>
    <col min="45" max="45" width="20.7265625" style="56" bestFit="1" customWidth="1"/>
    <col min="46" max="46" width="10" style="56" customWidth="1"/>
    <col min="47" max="47" width="15.7265625" style="56" bestFit="1" customWidth="1"/>
    <col min="48" max="48" width="18.26953125" style="3" bestFit="1" customWidth="1"/>
    <col min="49" max="49" width="20.7265625" style="3" bestFit="1" customWidth="1"/>
    <col min="50" max="50" width="10" style="3" customWidth="1"/>
    <col min="51" max="51" width="15.7265625" style="3" bestFit="1" customWidth="1"/>
    <col min="52" max="52" width="18.26953125" style="56" bestFit="1" customWidth="1"/>
    <col min="53" max="53" width="20.7265625" style="56" bestFit="1" customWidth="1"/>
    <col min="54" max="54" width="10" style="56" customWidth="1"/>
    <col min="55" max="55" width="15.7265625" style="56" bestFit="1" customWidth="1"/>
    <col min="56" max="56" width="18.26953125" style="3" bestFit="1" customWidth="1"/>
    <col min="57" max="57" width="20.7265625" style="3" bestFit="1" customWidth="1"/>
    <col min="58" max="58" width="10" style="3" customWidth="1"/>
    <col min="59" max="59" width="15.7265625" style="3" bestFit="1" customWidth="1"/>
    <col min="60" max="60" width="18.26953125" style="56" bestFit="1" customWidth="1"/>
    <col min="61" max="61" width="20.7265625" style="56" bestFit="1" customWidth="1"/>
    <col min="62" max="62" width="10" style="56" customWidth="1"/>
    <col min="63" max="63" width="15.7265625" style="56" bestFit="1" customWidth="1"/>
    <col min="64" max="64" width="18.26953125" style="3" bestFit="1" customWidth="1"/>
    <col min="65" max="65" width="20.7265625" style="3" bestFit="1" customWidth="1"/>
    <col min="66" max="66" width="10" style="3" customWidth="1"/>
    <col min="67" max="67" width="15.7265625" style="3" bestFit="1" customWidth="1"/>
    <col min="68" max="68" width="18.26953125" style="56" bestFit="1" customWidth="1"/>
    <col min="69" max="69" width="20.7265625" style="56" bestFit="1" customWidth="1"/>
    <col min="70" max="70" width="10" style="56" customWidth="1"/>
    <col min="71" max="71" width="15.7265625" style="56" bestFit="1" customWidth="1"/>
    <col min="72" max="72" width="18.26953125" style="3" bestFit="1" customWidth="1"/>
    <col min="73" max="73" width="20.7265625" style="3" bestFit="1" customWidth="1"/>
    <col min="74" max="74" width="10" style="3" customWidth="1"/>
    <col min="75" max="75" width="15.7265625" style="3" bestFit="1" customWidth="1"/>
    <col min="76" max="76" width="18.26953125" style="56" bestFit="1" customWidth="1"/>
    <col min="77" max="77" width="20.7265625" style="56" bestFit="1" customWidth="1"/>
    <col min="78" max="78" width="10" style="56" customWidth="1"/>
    <col min="79" max="79" width="15.7265625" style="56" bestFit="1" customWidth="1"/>
    <col min="80" max="80" width="18.26953125" style="3" bestFit="1" customWidth="1"/>
    <col min="81" max="81" width="20.7265625" style="3" bestFit="1" customWidth="1"/>
    <col min="82" max="82" width="10" style="3" customWidth="1"/>
    <col min="83" max="83" width="15.7265625" style="3" bestFit="1" customWidth="1"/>
    <col min="84" max="84" width="18.26953125" style="56" bestFit="1" customWidth="1"/>
    <col min="85" max="85" width="20.7265625" style="56" bestFit="1" customWidth="1"/>
    <col min="86" max="86" width="10" style="56" customWidth="1"/>
    <col min="87" max="87" width="15.7265625" style="56" bestFit="1" customWidth="1"/>
    <col min="88" max="88" width="18.26953125" style="3" bestFit="1" customWidth="1"/>
    <col min="89" max="89" width="20.7265625" style="3" bestFit="1" customWidth="1"/>
    <col min="90" max="90" width="10" style="3" customWidth="1"/>
    <col min="91" max="91" width="15.7265625" style="3" bestFit="1" customWidth="1"/>
    <col min="92" max="92" width="18.26953125" style="56" bestFit="1" customWidth="1"/>
    <col min="93" max="93" width="20.7265625" style="56" bestFit="1" customWidth="1"/>
    <col min="94" max="94" width="10" style="56" customWidth="1"/>
    <col min="95" max="95" width="15.7265625" style="56" bestFit="1" customWidth="1"/>
    <col min="96" max="96" width="18.26953125" style="3" bestFit="1" customWidth="1"/>
    <col min="97" max="97" width="20.7265625" style="3" bestFit="1" customWidth="1"/>
    <col min="98" max="98" width="10" style="3" customWidth="1"/>
    <col min="99" max="99" width="15.7265625" style="3" bestFit="1" customWidth="1"/>
    <col min="100" max="100" width="18.26953125" style="56" bestFit="1" customWidth="1"/>
    <col min="101" max="101" width="20.7265625" style="56" bestFit="1" customWidth="1"/>
    <col min="102" max="102" width="10" style="56" customWidth="1"/>
    <col min="103" max="103" width="15.7265625" style="56" bestFit="1" customWidth="1"/>
    <col min="104" max="104" width="18.26953125" style="3" bestFit="1" customWidth="1"/>
    <col min="105" max="105" width="20.7265625" style="3" bestFit="1" customWidth="1"/>
    <col min="106" max="106" width="10" style="3" customWidth="1"/>
    <col min="107" max="107" width="15.7265625" style="3" bestFit="1" customWidth="1"/>
    <col min="108" max="108" width="18.26953125" style="56" bestFit="1" customWidth="1"/>
    <col min="109" max="109" width="20.7265625" style="56" bestFit="1" customWidth="1"/>
    <col min="110" max="110" width="10" style="56" customWidth="1"/>
    <col min="111" max="111" width="15.7265625" style="56" bestFit="1" customWidth="1"/>
    <col min="112" max="112" width="18.26953125" style="3" bestFit="1" customWidth="1"/>
    <col min="113" max="113" width="20.7265625" style="3" bestFit="1" customWidth="1"/>
    <col min="114" max="114" width="10" style="3" customWidth="1"/>
    <col min="115" max="115" width="15.7265625" style="3" bestFit="1" customWidth="1"/>
    <col min="116" max="116" width="18.26953125" style="56" bestFit="1" customWidth="1"/>
    <col min="117" max="117" width="20.7265625" style="56" bestFit="1" customWidth="1"/>
    <col min="118" max="118" width="10" style="56" customWidth="1"/>
    <col min="119" max="119" width="15.7265625" style="56" bestFit="1" customWidth="1"/>
    <col min="120" max="120" width="18.26953125" style="3" bestFit="1" customWidth="1"/>
    <col min="121" max="121" width="20.7265625" style="3" bestFit="1" customWidth="1"/>
    <col min="122" max="122" width="10" style="3" customWidth="1"/>
    <col min="123" max="123" width="15.7265625" style="3" bestFit="1" customWidth="1"/>
    <col min="124" max="124" width="20.453125" style="3" customWidth="1"/>
    <col min="125" max="125" width="22.26953125" style="3" customWidth="1"/>
    <col min="126" max="16384" width="8.7265625" style="3" hidden="1"/>
  </cols>
  <sheetData>
    <row r="1" spans="1:125" ht="63" customHeight="1" x14ac:dyDescent="0.35">
      <c r="A1" s="174" t="s">
        <v>942</v>
      </c>
      <c r="B1" s="174"/>
      <c r="C1" s="174"/>
      <c r="D1" s="10"/>
      <c r="L1" s="3"/>
      <c r="M1" s="3"/>
      <c r="N1" s="3"/>
      <c r="O1" s="3"/>
      <c r="T1" s="3"/>
      <c r="U1" s="3"/>
      <c r="V1" s="3"/>
      <c r="W1" s="3"/>
      <c r="AB1" s="3"/>
      <c r="AC1" s="3"/>
      <c r="AD1" s="3"/>
      <c r="AE1" s="3"/>
      <c r="AJ1" s="3"/>
      <c r="AK1" s="3"/>
      <c r="AL1" s="3"/>
      <c r="AM1" s="3"/>
      <c r="AR1" s="3"/>
      <c r="AS1" s="3"/>
      <c r="AT1" s="3"/>
      <c r="AU1" s="3"/>
      <c r="AZ1" s="3"/>
      <c r="BA1" s="3"/>
      <c r="BB1" s="3"/>
      <c r="BC1" s="3"/>
      <c r="BH1" s="3"/>
      <c r="BI1" s="3"/>
      <c r="BJ1" s="3"/>
      <c r="BK1" s="3"/>
      <c r="BP1" s="3"/>
      <c r="BQ1" s="3"/>
      <c r="BR1" s="3"/>
      <c r="BS1" s="3"/>
      <c r="BX1" s="3"/>
      <c r="BY1" s="3"/>
      <c r="BZ1" s="3"/>
      <c r="CA1" s="3"/>
      <c r="CF1" s="3"/>
      <c r="CG1" s="3"/>
      <c r="CH1" s="3"/>
      <c r="CI1" s="3"/>
      <c r="CN1" s="3"/>
      <c r="CO1" s="3"/>
      <c r="CP1" s="3"/>
      <c r="CQ1" s="3"/>
      <c r="CV1" s="3"/>
      <c r="CW1" s="3"/>
      <c r="CX1" s="3"/>
      <c r="CY1" s="3"/>
      <c r="DD1" s="3"/>
      <c r="DE1" s="3"/>
      <c r="DF1" s="3"/>
      <c r="DG1" s="3"/>
      <c r="DL1" s="3"/>
      <c r="DM1" s="3"/>
      <c r="DN1" s="3"/>
      <c r="DO1" s="3"/>
    </row>
    <row r="2" spans="1:125" ht="30" customHeight="1" thickBot="1" x14ac:dyDescent="0.45">
      <c r="A2" s="173" t="s">
        <v>109</v>
      </c>
      <c r="B2" s="173"/>
      <c r="C2" s="173"/>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row>
    <row r="3" spans="1:125" s="36" customFormat="1" ht="31" customHeight="1" thickTop="1" x14ac:dyDescent="0.25">
      <c r="A3" s="29" t="s">
        <v>1</v>
      </c>
      <c r="B3" s="30"/>
      <c r="C3" s="31"/>
      <c r="D3" s="45">
        <v>1</v>
      </c>
      <c r="E3" s="46"/>
      <c r="F3" s="46"/>
      <c r="G3" s="47"/>
      <c r="H3" s="32">
        <v>2</v>
      </c>
      <c r="I3" s="33"/>
      <c r="J3" s="33"/>
      <c r="K3" s="34"/>
      <c r="L3" s="45">
        <v>3</v>
      </c>
      <c r="M3" s="46"/>
      <c r="N3" s="46"/>
      <c r="O3" s="47"/>
      <c r="P3" s="32">
        <v>4</v>
      </c>
      <c r="Q3" s="33"/>
      <c r="R3" s="33"/>
      <c r="S3" s="34"/>
      <c r="T3" s="45">
        <v>5</v>
      </c>
      <c r="U3" s="46"/>
      <c r="V3" s="46"/>
      <c r="W3" s="47"/>
      <c r="X3" s="32">
        <v>6</v>
      </c>
      <c r="Y3" s="33"/>
      <c r="Z3" s="33"/>
      <c r="AA3" s="34"/>
      <c r="AB3" s="45">
        <v>7</v>
      </c>
      <c r="AC3" s="46"/>
      <c r="AD3" s="46"/>
      <c r="AE3" s="47"/>
      <c r="AF3" s="32">
        <v>8</v>
      </c>
      <c r="AG3" s="33"/>
      <c r="AH3" s="33"/>
      <c r="AI3" s="34"/>
      <c r="AJ3" s="45">
        <v>9</v>
      </c>
      <c r="AK3" s="46"/>
      <c r="AL3" s="46"/>
      <c r="AM3" s="47"/>
      <c r="AN3" s="32">
        <v>10</v>
      </c>
      <c r="AO3" s="33"/>
      <c r="AP3" s="33"/>
      <c r="AQ3" s="34"/>
      <c r="AR3" s="45">
        <v>11</v>
      </c>
      <c r="AS3" s="46"/>
      <c r="AT3" s="46"/>
      <c r="AU3" s="47"/>
      <c r="AV3" s="32">
        <v>12</v>
      </c>
      <c r="AW3" s="33"/>
      <c r="AX3" s="33"/>
      <c r="AY3" s="34"/>
      <c r="AZ3" s="45">
        <v>13</v>
      </c>
      <c r="BA3" s="46"/>
      <c r="BB3" s="46"/>
      <c r="BC3" s="47"/>
      <c r="BD3" s="32">
        <v>14</v>
      </c>
      <c r="BE3" s="33"/>
      <c r="BF3" s="33"/>
      <c r="BG3" s="34"/>
      <c r="BH3" s="45">
        <v>15</v>
      </c>
      <c r="BI3" s="46"/>
      <c r="BJ3" s="46"/>
      <c r="BK3" s="47"/>
      <c r="BL3" s="32">
        <v>16</v>
      </c>
      <c r="BM3" s="33"/>
      <c r="BN3" s="33"/>
      <c r="BO3" s="34"/>
      <c r="BP3" s="45">
        <v>17</v>
      </c>
      <c r="BQ3" s="46"/>
      <c r="BR3" s="46"/>
      <c r="BS3" s="47"/>
      <c r="BT3" s="32">
        <v>18</v>
      </c>
      <c r="BU3" s="33"/>
      <c r="BV3" s="33"/>
      <c r="BW3" s="34"/>
      <c r="BX3" s="45">
        <v>19</v>
      </c>
      <c r="BY3" s="46"/>
      <c r="BZ3" s="46"/>
      <c r="CA3" s="47"/>
      <c r="CB3" s="32">
        <v>20</v>
      </c>
      <c r="CC3" s="33"/>
      <c r="CD3" s="33"/>
      <c r="CE3" s="34"/>
      <c r="CF3" s="45">
        <v>21</v>
      </c>
      <c r="CG3" s="46"/>
      <c r="CH3" s="46"/>
      <c r="CI3" s="47"/>
      <c r="CJ3" s="32">
        <v>22</v>
      </c>
      <c r="CK3" s="33"/>
      <c r="CL3" s="33"/>
      <c r="CM3" s="34"/>
      <c r="CN3" s="45">
        <v>23</v>
      </c>
      <c r="CO3" s="46"/>
      <c r="CP3" s="46"/>
      <c r="CQ3" s="47"/>
      <c r="CR3" s="32">
        <v>24</v>
      </c>
      <c r="CS3" s="33"/>
      <c r="CT3" s="33"/>
      <c r="CU3" s="34"/>
      <c r="CV3" s="45">
        <v>25</v>
      </c>
      <c r="CW3" s="46"/>
      <c r="CX3" s="46"/>
      <c r="CY3" s="47"/>
      <c r="CZ3" s="32">
        <v>26</v>
      </c>
      <c r="DA3" s="33"/>
      <c r="DB3" s="33"/>
      <c r="DC3" s="34"/>
      <c r="DD3" s="45">
        <v>27</v>
      </c>
      <c r="DE3" s="46"/>
      <c r="DF3" s="46"/>
      <c r="DG3" s="47"/>
      <c r="DH3" s="32">
        <v>28</v>
      </c>
      <c r="DI3" s="33"/>
      <c r="DJ3" s="33"/>
      <c r="DK3" s="34"/>
      <c r="DL3" s="45">
        <v>29</v>
      </c>
      <c r="DM3" s="46"/>
      <c r="DN3" s="46"/>
      <c r="DO3" s="47"/>
      <c r="DP3" s="32">
        <v>30</v>
      </c>
      <c r="DQ3" s="33"/>
      <c r="DR3" s="33"/>
      <c r="DS3" s="34"/>
      <c r="DT3" s="35"/>
      <c r="DU3" s="35"/>
    </row>
    <row r="4" spans="1:125" s="41" customFormat="1" ht="31" customHeight="1" x14ac:dyDescent="0.25">
      <c r="A4" s="175" t="s">
        <v>8</v>
      </c>
      <c r="B4" s="176"/>
      <c r="C4" s="177"/>
      <c r="D4" s="48"/>
      <c r="E4" s="49"/>
      <c r="F4" s="49"/>
      <c r="G4" s="50"/>
      <c r="H4" s="37"/>
      <c r="I4" s="38"/>
      <c r="J4" s="38"/>
      <c r="K4" s="39"/>
      <c r="L4" s="48"/>
      <c r="M4" s="49"/>
      <c r="N4" s="49"/>
      <c r="O4" s="50"/>
      <c r="P4" s="37"/>
      <c r="Q4" s="38"/>
      <c r="R4" s="38"/>
      <c r="S4" s="39"/>
      <c r="T4" s="48"/>
      <c r="U4" s="49"/>
      <c r="V4" s="49"/>
      <c r="W4" s="50"/>
      <c r="X4" s="37"/>
      <c r="Y4" s="38"/>
      <c r="Z4" s="38"/>
      <c r="AA4" s="39"/>
      <c r="AB4" s="48"/>
      <c r="AC4" s="49"/>
      <c r="AD4" s="49"/>
      <c r="AE4" s="50"/>
      <c r="AF4" s="37"/>
      <c r="AG4" s="38"/>
      <c r="AH4" s="38"/>
      <c r="AI4" s="39"/>
      <c r="AJ4" s="48"/>
      <c r="AK4" s="49"/>
      <c r="AL4" s="49"/>
      <c r="AM4" s="50"/>
      <c r="AN4" s="37"/>
      <c r="AO4" s="38"/>
      <c r="AP4" s="38"/>
      <c r="AQ4" s="39"/>
      <c r="AR4" s="48"/>
      <c r="AS4" s="49"/>
      <c r="AT4" s="49"/>
      <c r="AU4" s="50"/>
      <c r="AV4" s="37"/>
      <c r="AW4" s="38"/>
      <c r="AX4" s="38"/>
      <c r="AY4" s="39"/>
      <c r="AZ4" s="48"/>
      <c r="BA4" s="49"/>
      <c r="BB4" s="49"/>
      <c r="BC4" s="50"/>
      <c r="BD4" s="37"/>
      <c r="BE4" s="38"/>
      <c r="BF4" s="38"/>
      <c r="BG4" s="39"/>
      <c r="BH4" s="48"/>
      <c r="BI4" s="49"/>
      <c r="BJ4" s="49"/>
      <c r="BK4" s="50"/>
      <c r="BL4" s="37"/>
      <c r="BM4" s="38"/>
      <c r="BN4" s="38"/>
      <c r="BO4" s="39"/>
      <c r="BP4" s="48"/>
      <c r="BQ4" s="49"/>
      <c r="BR4" s="49"/>
      <c r="BS4" s="50"/>
      <c r="BT4" s="37"/>
      <c r="BU4" s="38"/>
      <c r="BV4" s="38"/>
      <c r="BW4" s="39"/>
      <c r="BX4" s="48"/>
      <c r="BY4" s="49"/>
      <c r="BZ4" s="49"/>
      <c r="CA4" s="50"/>
      <c r="CB4" s="37"/>
      <c r="CC4" s="38"/>
      <c r="CD4" s="38"/>
      <c r="CE4" s="39"/>
      <c r="CF4" s="48"/>
      <c r="CG4" s="49"/>
      <c r="CH4" s="49"/>
      <c r="CI4" s="50"/>
      <c r="CJ4" s="37"/>
      <c r="CK4" s="38"/>
      <c r="CL4" s="38"/>
      <c r="CM4" s="39"/>
      <c r="CN4" s="48"/>
      <c r="CO4" s="49"/>
      <c r="CP4" s="49"/>
      <c r="CQ4" s="50"/>
      <c r="CR4" s="37"/>
      <c r="CS4" s="38"/>
      <c r="CT4" s="38"/>
      <c r="CU4" s="39"/>
      <c r="CV4" s="48"/>
      <c r="CW4" s="49"/>
      <c r="CX4" s="49"/>
      <c r="CY4" s="50"/>
      <c r="CZ4" s="37"/>
      <c r="DA4" s="38"/>
      <c r="DB4" s="38"/>
      <c r="DC4" s="39"/>
      <c r="DD4" s="48"/>
      <c r="DE4" s="49"/>
      <c r="DF4" s="49"/>
      <c r="DG4" s="50"/>
      <c r="DH4" s="37"/>
      <c r="DI4" s="38"/>
      <c r="DJ4" s="38"/>
      <c r="DK4" s="39"/>
      <c r="DL4" s="48"/>
      <c r="DM4" s="49"/>
      <c r="DN4" s="49"/>
      <c r="DO4" s="50"/>
      <c r="DP4" s="37"/>
      <c r="DQ4" s="38"/>
      <c r="DR4" s="38"/>
      <c r="DS4" s="39"/>
      <c r="DT4" s="40"/>
      <c r="DU4" s="40"/>
    </row>
    <row r="5" spans="1:125" s="41" customFormat="1" ht="31" customHeight="1" x14ac:dyDescent="0.25">
      <c r="A5" s="175" t="s">
        <v>9</v>
      </c>
      <c r="B5" s="176"/>
      <c r="C5" s="177"/>
      <c r="D5" s="48"/>
      <c r="E5" s="49"/>
      <c r="F5" s="49"/>
      <c r="G5" s="50"/>
      <c r="H5" s="37"/>
      <c r="I5" s="38"/>
      <c r="J5" s="38"/>
      <c r="K5" s="39"/>
      <c r="L5" s="48"/>
      <c r="M5" s="49"/>
      <c r="N5" s="49"/>
      <c r="O5" s="50"/>
      <c r="P5" s="37"/>
      <c r="Q5" s="38"/>
      <c r="R5" s="38"/>
      <c r="S5" s="39"/>
      <c r="T5" s="48"/>
      <c r="U5" s="49"/>
      <c r="V5" s="49"/>
      <c r="W5" s="50"/>
      <c r="X5" s="37"/>
      <c r="Y5" s="38"/>
      <c r="Z5" s="38"/>
      <c r="AA5" s="39"/>
      <c r="AB5" s="48"/>
      <c r="AC5" s="49"/>
      <c r="AD5" s="49"/>
      <c r="AE5" s="50"/>
      <c r="AF5" s="37"/>
      <c r="AG5" s="38"/>
      <c r="AH5" s="38"/>
      <c r="AI5" s="39"/>
      <c r="AJ5" s="48"/>
      <c r="AK5" s="49"/>
      <c r="AL5" s="49"/>
      <c r="AM5" s="50"/>
      <c r="AN5" s="37"/>
      <c r="AO5" s="38"/>
      <c r="AP5" s="38"/>
      <c r="AQ5" s="39"/>
      <c r="AR5" s="48"/>
      <c r="AS5" s="49"/>
      <c r="AT5" s="49"/>
      <c r="AU5" s="50"/>
      <c r="AV5" s="37"/>
      <c r="AW5" s="38"/>
      <c r="AX5" s="38"/>
      <c r="AY5" s="39"/>
      <c r="AZ5" s="48"/>
      <c r="BA5" s="49"/>
      <c r="BB5" s="49"/>
      <c r="BC5" s="50"/>
      <c r="BD5" s="37"/>
      <c r="BE5" s="38"/>
      <c r="BF5" s="38"/>
      <c r="BG5" s="39"/>
      <c r="BH5" s="48"/>
      <c r="BI5" s="49"/>
      <c r="BJ5" s="49"/>
      <c r="BK5" s="50"/>
      <c r="BL5" s="37"/>
      <c r="BM5" s="38"/>
      <c r="BN5" s="38"/>
      <c r="BO5" s="39"/>
      <c r="BP5" s="48"/>
      <c r="BQ5" s="49"/>
      <c r="BR5" s="49"/>
      <c r="BS5" s="50"/>
      <c r="BT5" s="37"/>
      <c r="BU5" s="38"/>
      <c r="BV5" s="38"/>
      <c r="BW5" s="39"/>
      <c r="BX5" s="48"/>
      <c r="BY5" s="49"/>
      <c r="BZ5" s="49"/>
      <c r="CA5" s="50"/>
      <c r="CB5" s="37"/>
      <c r="CC5" s="38"/>
      <c r="CD5" s="38"/>
      <c r="CE5" s="39"/>
      <c r="CF5" s="48"/>
      <c r="CG5" s="49"/>
      <c r="CH5" s="49"/>
      <c r="CI5" s="50"/>
      <c r="CJ5" s="37"/>
      <c r="CK5" s="38"/>
      <c r="CL5" s="38"/>
      <c r="CM5" s="39"/>
      <c r="CN5" s="48"/>
      <c r="CO5" s="49"/>
      <c r="CP5" s="49"/>
      <c r="CQ5" s="50"/>
      <c r="CR5" s="37"/>
      <c r="CS5" s="38"/>
      <c r="CT5" s="38"/>
      <c r="CU5" s="39"/>
      <c r="CV5" s="48"/>
      <c r="CW5" s="49"/>
      <c r="CX5" s="49"/>
      <c r="CY5" s="50"/>
      <c r="CZ5" s="37"/>
      <c r="DA5" s="38"/>
      <c r="DB5" s="38"/>
      <c r="DC5" s="39"/>
      <c r="DD5" s="48"/>
      <c r="DE5" s="49"/>
      <c r="DF5" s="49"/>
      <c r="DG5" s="50"/>
      <c r="DH5" s="37"/>
      <c r="DI5" s="38"/>
      <c r="DJ5" s="38"/>
      <c r="DK5" s="39"/>
      <c r="DL5" s="48"/>
      <c r="DM5" s="49"/>
      <c r="DN5" s="49"/>
      <c r="DO5" s="50"/>
      <c r="DP5" s="37"/>
      <c r="DQ5" s="38"/>
      <c r="DR5" s="38"/>
      <c r="DS5" s="39"/>
      <c r="DT5" s="40"/>
      <c r="DU5" s="40"/>
    </row>
    <row r="6" spans="1:125" s="41" customFormat="1" ht="31" customHeight="1" x14ac:dyDescent="0.25">
      <c r="A6" s="175" t="s">
        <v>10</v>
      </c>
      <c r="B6" s="176"/>
      <c r="C6" s="177"/>
      <c r="D6" s="51"/>
      <c r="E6" s="52"/>
      <c r="F6" s="52"/>
      <c r="G6" s="53"/>
      <c r="H6" s="42"/>
      <c r="I6" s="43"/>
      <c r="J6" s="43"/>
      <c r="K6" s="44"/>
      <c r="L6" s="51"/>
      <c r="M6" s="52"/>
      <c r="N6" s="52"/>
      <c r="O6" s="53"/>
      <c r="P6" s="42"/>
      <c r="Q6" s="43"/>
      <c r="R6" s="43"/>
      <c r="S6" s="44"/>
      <c r="T6" s="51"/>
      <c r="U6" s="52"/>
      <c r="V6" s="52"/>
      <c r="W6" s="53"/>
      <c r="X6" s="42"/>
      <c r="Y6" s="43"/>
      <c r="Z6" s="43"/>
      <c r="AA6" s="44"/>
      <c r="AB6" s="51"/>
      <c r="AC6" s="52"/>
      <c r="AD6" s="52"/>
      <c r="AE6" s="53"/>
      <c r="AF6" s="42"/>
      <c r="AG6" s="43"/>
      <c r="AH6" s="43"/>
      <c r="AI6" s="44"/>
      <c r="AJ6" s="51"/>
      <c r="AK6" s="52"/>
      <c r="AL6" s="52"/>
      <c r="AM6" s="53"/>
      <c r="AN6" s="42"/>
      <c r="AO6" s="43"/>
      <c r="AP6" s="43"/>
      <c r="AQ6" s="44"/>
      <c r="AR6" s="51"/>
      <c r="AS6" s="52"/>
      <c r="AT6" s="52"/>
      <c r="AU6" s="53"/>
      <c r="AV6" s="42"/>
      <c r="AW6" s="43"/>
      <c r="AX6" s="43"/>
      <c r="AY6" s="44"/>
      <c r="AZ6" s="51"/>
      <c r="BA6" s="52"/>
      <c r="BB6" s="52"/>
      <c r="BC6" s="53"/>
      <c r="BD6" s="42"/>
      <c r="BE6" s="43"/>
      <c r="BF6" s="43"/>
      <c r="BG6" s="44"/>
      <c r="BH6" s="51"/>
      <c r="BI6" s="52"/>
      <c r="BJ6" s="52"/>
      <c r="BK6" s="53"/>
      <c r="BL6" s="42"/>
      <c r="BM6" s="43"/>
      <c r="BN6" s="43"/>
      <c r="BO6" s="44"/>
      <c r="BP6" s="51"/>
      <c r="BQ6" s="52"/>
      <c r="BR6" s="52"/>
      <c r="BS6" s="53"/>
      <c r="BT6" s="42"/>
      <c r="BU6" s="43"/>
      <c r="BV6" s="43"/>
      <c r="BW6" s="44"/>
      <c r="BX6" s="51"/>
      <c r="BY6" s="52"/>
      <c r="BZ6" s="52"/>
      <c r="CA6" s="53"/>
      <c r="CB6" s="42"/>
      <c r="CC6" s="43"/>
      <c r="CD6" s="43"/>
      <c r="CE6" s="44"/>
      <c r="CF6" s="51"/>
      <c r="CG6" s="52"/>
      <c r="CH6" s="52"/>
      <c r="CI6" s="53"/>
      <c r="CJ6" s="42"/>
      <c r="CK6" s="43"/>
      <c r="CL6" s="43"/>
      <c r="CM6" s="44"/>
      <c r="CN6" s="51"/>
      <c r="CO6" s="52"/>
      <c r="CP6" s="52"/>
      <c r="CQ6" s="53"/>
      <c r="CR6" s="42"/>
      <c r="CS6" s="43"/>
      <c r="CT6" s="43"/>
      <c r="CU6" s="44"/>
      <c r="CV6" s="51"/>
      <c r="CW6" s="52"/>
      <c r="CX6" s="52"/>
      <c r="CY6" s="53"/>
      <c r="CZ6" s="42"/>
      <c r="DA6" s="43"/>
      <c r="DB6" s="43"/>
      <c r="DC6" s="44"/>
      <c r="DD6" s="51"/>
      <c r="DE6" s="52"/>
      <c r="DF6" s="52"/>
      <c r="DG6" s="53"/>
      <c r="DH6" s="42"/>
      <c r="DI6" s="43"/>
      <c r="DJ6" s="43"/>
      <c r="DK6" s="44"/>
      <c r="DL6" s="51"/>
      <c r="DM6" s="52"/>
      <c r="DN6" s="52"/>
      <c r="DO6" s="53"/>
      <c r="DP6" s="42"/>
      <c r="DQ6" s="43"/>
      <c r="DR6" s="43"/>
      <c r="DS6" s="44"/>
      <c r="DT6" s="40"/>
      <c r="DU6" s="40"/>
    </row>
    <row r="7" spans="1:125" ht="31" customHeight="1" x14ac:dyDescent="0.35">
      <c r="A7" s="23" t="s">
        <v>110</v>
      </c>
      <c r="B7" s="23" t="s">
        <v>93</v>
      </c>
      <c r="C7" s="23" t="s">
        <v>94</v>
      </c>
      <c r="D7" s="54" t="s">
        <v>111</v>
      </c>
      <c r="E7" s="54" t="s">
        <v>112</v>
      </c>
      <c r="F7" s="54" t="s">
        <v>113</v>
      </c>
      <c r="G7" s="55" t="s">
        <v>114</v>
      </c>
      <c r="H7" s="25" t="s">
        <v>111</v>
      </c>
      <c r="I7" s="25" t="s">
        <v>112</v>
      </c>
      <c r="J7" s="25" t="s">
        <v>113</v>
      </c>
      <c r="K7" s="26" t="s">
        <v>114</v>
      </c>
      <c r="L7" s="54" t="s">
        <v>111</v>
      </c>
      <c r="M7" s="54" t="s">
        <v>112</v>
      </c>
      <c r="N7" s="54" t="s">
        <v>113</v>
      </c>
      <c r="O7" s="55" t="s">
        <v>114</v>
      </c>
      <c r="P7" s="25" t="s">
        <v>111</v>
      </c>
      <c r="Q7" s="25" t="s">
        <v>112</v>
      </c>
      <c r="R7" s="25" t="s">
        <v>113</v>
      </c>
      <c r="S7" s="26" t="s">
        <v>114</v>
      </c>
      <c r="T7" s="54" t="s">
        <v>111</v>
      </c>
      <c r="U7" s="54" t="s">
        <v>112</v>
      </c>
      <c r="V7" s="54" t="s">
        <v>113</v>
      </c>
      <c r="W7" s="55" t="s">
        <v>114</v>
      </c>
      <c r="X7" s="25" t="s">
        <v>111</v>
      </c>
      <c r="Y7" s="25" t="s">
        <v>112</v>
      </c>
      <c r="Z7" s="25" t="s">
        <v>113</v>
      </c>
      <c r="AA7" s="26" t="s">
        <v>114</v>
      </c>
      <c r="AB7" s="54" t="s">
        <v>111</v>
      </c>
      <c r="AC7" s="54" t="s">
        <v>112</v>
      </c>
      <c r="AD7" s="54" t="s">
        <v>113</v>
      </c>
      <c r="AE7" s="55" t="s">
        <v>114</v>
      </c>
      <c r="AF7" s="25" t="s">
        <v>111</v>
      </c>
      <c r="AG7" s="25" t="s">
        <v>112</v>
      </c>
      <c r="AH7" s="25" t="s">
        <v>113</v>
      </c>
      <c r="AI7" s="26" t="s">
        <v>114</v>
      </c>
      <c r="AJ7" s="54" t="s">
        <v>111</v>
      </c>
      <c r="AK7" s="54" t="s">
        <v>112</v>
      </c>
      <c r="AL7" s="54" t="s">
        <v>113</v>
      </c>
      <c r="AM7" s="55" t="s">
        <v>114</v>
      </c>
      <c r="AN7" s="25" t="s">
        <v>111</v>
      </c>
      <c r="AO7" s="25" t="s">
        <v>112</v>
      </c>
      <c r="AP7" s="25" t="s">
        <v>113</v>
      </c>
      <c r="AQ7" s="26" t="s">
        <v>114</v>
      </c>
      <c r="AR7" s="54" t="s">
        <v>111</v>
      </c>
      <c r="AS7" s="54" t="s">
        <v>112</v>
      </c>
      <c r="AT7" s="54" t="s">
        <v>113</v>
      </c>
      <c r="AU7" s="55" t="s">
        <v>114</v>
      </c>
      <c r="AV7" s="25" t="s">
        <v>111</v>
      </c>
      <c r="AW7" s="25" t="s">
        <v>112</v>
      </c>
      <c r="AX7" s="25" t="s">
        <v>113</v>
      </c>
      <c r="AY7" s="26" t="s">
        <v>114</v>
      </c>
      <c r="AZ7" s="54" t="s">
        <v>111</v>
      </c>
      <c r="BA7" s="54" t="s">
        <v>112</v>
      </c>
      <c r="BB7" s="54" t="s">
        <v>113</v>
      </c>
      <c r="BC7" s="55" t="s">
        <v>114</v>
      </c>
      <c r="BD7" s="25" t="s">
        <v>111</v>
      </c>
      <c r="BE7" s="25" t="s">
        <v>112</v>
      </c>
      <c r="BF7" s="25" t="s">
        <v>113</v>
      </c>
      <c r="BG7" s="26" t="s">
        <v>114</v>
      </c>
      <c r="BH7" s="54" t="s">
        <v>111</v>
      </c>
      <c r="BI7" s="54" t="s">
        <v>112</v>
      </c>
      <c r="BJ7" s="54" t="s">
        <v>113</v>
      </c>
      <c r="BK7" s="55" t="s">
        <v>114</v>
      </c>
      <c r="BL7" s="25" t="s">
        <v>111</v>
      </c>
      <c r="BM7" s="25" t="s">
        <v>112</v>
      </c>
      <c r="BN7" s="25" t="s">
        <v>113</v>
      </c>
      <c r="BO7" s="26" t="s">
        <v>114</v>
      </c>
      <c r="BP7" s="54" t="s">
        <v>111</v>
      </c>
      <c r="BQ7" s="54" t="s">
        <v>112</v>
      </c>
      <c r="BR7" s="54" t="s">
        <v>113</v>
      </c>
      <c r="BS7" s="55" t="s">
        <v>114</v>
      </c>
      <c r="BT7" s="25" t="s">
        <v>111</v>
      </c>
      <c r="BU7" s="25" t="s">
        <v>112</v>
      </c>
      <c r="BV7" s="25" t="s">
        <v>113</v>
      </c>
      <c r="BW7" s="26" t="s">
        <v>114</v>
      </c>
      <c r="BX7" s="54" t="s">
        <v>111</v>
      </c>
      <c r="BY7" s="54" t="s">
        <v>112</v>
      </c>
      <c r="BZ7" s="54" t="s">
        <v>113</v>
      </c>
      <c r="CA7" s="55" t="s">
        <v>114</v>
      </c>
      <c r="CB7" s="25" t="s">
        <v>111</v>
      </c>
      <c r="CC7" s="25" t="s">
        <v>112</v>
      </c>
      <c r="CD7" s="25" t="s">
        <v>113</v>
      </c>
      <c r="CE7" s="26" t="s">
        <v>114</v>
      </c>
      <c r="CF7" s="54" t="s">
        <v>111</v>
      </c>
      <c r="CG7" s="54" t="s">
        <v>112</v>
      </c>
      <c r="CH7" s="54" t="s">
        <v>113</v>
      </c>
      <c r="CI7" s="55" t="s">
        <v>114</v>
      </c>
      <c r="CJ7" s="25" t="s">
        <v>111</v>
      </c>
      <c r="CK7" s="25" t="s">
        <v>112</v>
      </c>
      <c r="CL7" s="25" t="s">
        <v>113</v>
      </c>
      <c r="CM7" s="26" t="s">
        <v>114</v>
      </c>
      <c r="CN7" s="54" t="s">
        <v>111</v>
      </c>
      <c r="CO7" s="54" t="s">
        <v>112</v>
      </c>
      <c r="CP7" s="54" t="s">
        <v>113</v>
      </c>
      <c r="CQ7" s="55" t="s">
        <v>114</v>
      </c>
      <c r="CR7" s="25" t="s">
        <v>111</v>
      </c>
      <c r="CS7" s="25" t="s">
        <v>112</v>
      </c>
      <c r="CT7" s="25" t="s">
        <v>113</v>
      </c>
      <c r="CU7" s="26" t="s">
        <v>114</v>
      </c>
      <c r="CV7" s="54" t="s">
        <v>111</v>
      </c>
      <c r="CW7" s="54" t="s">
        <v>112</v>
      </c>
      <c r="CX7" s="54" t="s">
        <v>113</v>
      </c>
      <c r="CY7" s="55" t="s">
        <v>114</v>
      </c>
      <c r="CZ7" s="25" t="s">
        <v>111</v>
      </c>
      <c r="DA7" s="25" t="s">
        <v>112</v>
      </c>
      <c r="DB7" s="25" t="s">
        <v>113</v>
      </c>
      <c r="DC7" s="26" t="s">
        <v>114</v>
      </c>
      <c r="DD7" s="54" t="s">
        <v>111</v>
      </c>
      <c r="DE7" s="54" t="s">
        <v>112</v>
      </c>
      <c r="DF7" s="54" t="s">
        <v>113</v>
      </c>
      <c r="DG7" s="55" t="s">
        <v>114</v>
      </c>
      <c r="DH7" s="25" t="s">
        <v>111</v>
      </c>
      <c r="DI7" s="25" t="s">
        <v>112</v>
      </c>
      <c r="DJ7" s="25" t="s">
        <v>113</v>
      </c>
      <c r="DK7" s="26" t="s">
        <v>114</v>
      </c>
      <c r="DL7" s="54" t="s">
        <v>111</v>
      </c>
      <c r="DM7" s="54" t="s">
        <v>112</v>
      </c>
      <c r="DN7" s="54" t="s">
        <v>113</v>
      </c>
      <c r="DO7" s="55" t="s">
        <v>114</v>
      </c>
      <c r="DP7" s="25" t="s">
        <v>111</v>
      </c>
      <c r="DQ7" s="25" t="s">
        <v>112</v>
      </c>
      <c r="DR7" s="25" t="s">
        <v>113</v>
      </c>
      <c r="DS7" s="26" t="s">
        <v>114</v>
      </c>
      <c r="DT7" s="23" t="s">
        <v>115</v>
      </c>
      <c r="DU7" s="24" t="s">
        <v>116</v>
      </c>
    </row>
    <row r="8" spans="1:125" s="40" customFormat="1" ht="31" customHeight="1" x14ac:dyDescent="0.25">
      <c r="A8" s="66"/>
      <c r="B8" s="66"/>
      <c r="C8" s="66"/>
      <c r="D8" s="67"/>
      <c r="E8" s="67"/>
      <c r="F8" s="67"/>
      <c r="G8" s="68" t="str">
        <f t="shared" ref="G8:G32" si="0">IF(D8="","n/a", D8/E8)</f>
        <v>n/a</v>
      </c>
      <c r="H8" s="69"/>
      <c r="I8" s="69"/>
      <c r="J8" s="69"/>
      <c r="K8" s="70" t="str">
        <f t="shared" ref="K8:K32" si="1">IF(H8="","n/a", H8/I8)</f>
        <v>n/a</v>
      </c>
      <c r="L8" s="67"/>
      <c r="M8" s="67"/>
      <c r="N8" s="67"/>
      <c r="O8" s="68" t="str">
        <f t="shared" ref="O8:O32" si="2">IF(L8="","n/a", L8/M8)</f>
        <v>n/a</v>
      </c>
      <c r="P8" s="69"/>
      <c r="Q8" s="69"/>
      <c r="R8" s="69"/>
      <c r="S8" s="70" t="str">
        <f t="shared" ref="S8:S32" si="3">IF(P8="","n/a", P8/Q8)</f>
        <v>n/a</v>
      </c>
      <c r="T8" s="67"/>
      <c r="U8" s="67"/>
      <c r="V8" s="67"/>
      <c r="W8" s="68" t="str">
        <f t="shared" ref="W8:W32" si="4">IF(T8="","n/a", T8/U8)</f>
        <v>n/a</v>
      </c>
      <c r="X8" s="69"/>
      <c r="Y8" s="69"/>
      <c r="Z8" s="69"/>
      <c r="AA8" s="70" t="str">
        <f t="shared" ref="AA8:AA32" si="5">IF(X8="","n/a", X8/Y8)</f>
        <v>n/a</v>
      </c>
      <c r="AB8" s="67"/>
      <c r="AC8" s="67"/>
      <c r="AD8" s="67"/>
      <c r="AE8" s="68" t="str">
        <f t="shared" ref="AE8:AE32" si="6">IF(AB8="","n/a", AB8/AC8)</f>
        <v>n/a</v>
      </c>
      <c r="AF8" s="69"/>
      <c r="AG8" s="69"/>
      <c r="AH8" s="69"/>
      <c r="AI8" s="70" t="str">
        <f t="shared" ref="AI8:AI32" si="7">IF(AF8="","n/a", AF8/AG8)</f>
        <v>n/a</v>
      </c>
      <c r="AJ8" s="67"/>
      <c r="AK8" s="67"/>
      <c r="AL8" s="67"/>
      <c r="AM8" s="68" t="str">
        <f t="shared" ref="AM8:AM32" si="8">IF(AJ8="","n/a", AJ8/AK8)</f>
        <v>n/a</v>
      </c>
      <c r="AN8" s="69"/>
      <c r="AO8" s="69"/>
      <c r="AP8" s="69"/>
      <c r="AQ8" s="70" t="str">
        <f t="shared" ref="AQ8:AQ32" si="9">IF(AN8="","n/a", AN8/AO8)</f>
        <v>n/a</v>
      </c>
      <c r="AR8" s="67"/>
      <c r="AS8" s="67"/>
      <c r="AT8" s="67"/>
      <c r="AU8" s="68" t="str">
        <f t="shared" ref="AU8:AU32" si="10">IF(AR8="","n/a", AR8/AS8)</f>
        <v>n/a</v>
      </c>
      <c r="AV8" s="69"/>
      <c r="AW8" s="69"/>
      <c r="AX8" s="69"/>
      <c r="AY8" s="70" t="str">
        <f t="shared" ref="AY8:AY32" si="11">IF(AV8="","n/a", AV8/AW8)</f>
        <v>n/a</v>
      </c>
      <c r="AZ8" s="67"/>
      <c r="BA8" s="67"/>
      <c r="BB8" s="67"/>
      <c r="BC8" s="68" t="str">
        <f t="shared" ref="BC8:BC32" si="12">IF(AZ8="","n/a", AZ8/BA8)</f>
        <v>n/a</v>
      </c>
      <c r="BD8" s="69"/>
      <c r="BE8" s="69"/>
      <c r="BF8" s="69"/>
      <c r="BG8" s="70" t="str">
        <f t="shared" ref="BG8:BG32" si="13">IF(BD8="","n/a", BD8/BE8)</f>
        <v>n/a</v>
      </c>
      <c r="BH8" s="67"/>
      <c r="BI8" s="67"/>
      <c r="BJ8" s="67"/>
      <c r="BK8" s="68" t="str">
        <f t="shared" ref="BK8:BK32" si="14">IF(BH8="","n/a", BH8/BI8)</f>
        <v>n/a</v>
      </c>
      <c r="BL8" s="69"/>
      <c r="BM8" s="69"/>
      <c r="BN8" s="69"/>
      <c r="BO8" s="70" t="str">
        <f t="shared" ref="BO8:BO32" si="15">IF(BL8="","n/a", BL8/BM8)</f>
        <v>n/a</v>
      </c>
      <c r="BP8" s="67"/>
      <c r="BQ8" s="67"/>
      <c r="BR8" s="67"/>
      <c r="BS8" s="68" t="str">
        <f t="shared" ref="BS8:BS32" si="16">IF(BP8="","n/a", BP8/BQ8)</f>
        <v>n/a</v>
      </c>
      <c r="BT8" s="69"/>
      <c r="BU8" s="69"/>
      <c r="BV8" s="69"/>
      <c r="BW8" s="70" t="str">
        <f t="shared" ref="BW8:BW32" si="17">IF(BT8="","n/a", BT8/BU8)</f>
        <v>n/a</v>
      </c>
      <c r="BX8" s="67"/>
      <c r="BY8" s="67"/>
      <c r="BZ8" s="67"/>
      <c r="CA8" s="68" t="str">
        <f t="shared" ref="CA8:CA32" si="18">IF(BX8="","n/a", BX8/BY8)</f>
        <v>n/a</v>
      </c>
      <c r="CB8" s="69"/>
      <c r="CC8" s="69"/>
      <c r="CD8" s="69"/>
      <c r="CE8" s="70" t="str">
        <f t="shared" ref="CE8:CE32" si="19">IF(CB8="","n/a", CB8/CC8)</f>
        <v>n/a</v>
      </c>
      <c r="CF8" s="67"/>
      <c r="CG8" s="67"/>
      <c r="CH8" s="67"/>
      <c r="CI8" s="68" t="str">
        <f t="shared" ref="CI8:CI32" si="20">IF(CF8="","n/a", CF8/CG8)</f>
        <v>n/a</v>
      </c>
      <c r="CJ8" s="69"/>
      <c r="CK8" s="69"/>
      <c r="CL8" s="69"/>
      <c r="CM8" s="70" t="str">
        <f t="shared" ref="CM8:CM32" si="21">IF(CJ8="","n/a", CJ8/CK8)</f>
        <v>n/a</v>
      </c>
      <c r="CN8" s="67"/>
      <c r="CO8" s="67"/>
      <c r="CP8" s="67"/>
      <c r="CQ8" s="68" t="str">
        <f t="shared" ref="CQ8:CQ32" si="22">IF(CN8="","n/a", CN8/CO8)</f>
        <v>n/a</v>
      </c>
      <c r="CR8" s="69"/>
      <c r="CS8" s="69"/>
      <c r="CT8" s="69"/>
      <c r="CU8" s="70" t="str">
        <f t="shared" ref="CU8:CU32" si="23">IF(CR8="","n/a", CR8/CS8)</f>
        <v>n/a</v>
      </c>
      <c r="CV8" s="67"/>
      <c r="CW8" s="67"/>
      <c r="CX8" s="67"/>
      <c r="CY8" s="68" t="str">
        <f t="shared" ref="CY8:CY32" si="24">IF(CV8="","n/a", CV8/CW8)</f>
        <v>n/a</v>
      </c>
      <c r="CZ8" s="69"/>
      <c r="DA8" s="69"/>
      <c r="DB8" s="69"/>
      <c r="DC8" s="70" t="str">
        <f t="shared" ref="DC8:DC32" si="25">IF(CZ8="","n/a", CZ8/DA8)</f>
        <v>n/a</v>
      </c>
      <c r="DD8" s="67"/>
      <c r="DE8" s="67"/>
      <c r="DF8" s="67"/>
      <c r="DG8" s="68" t="str">
        <f t="shared" ref="DG8:DG32" si="26">IF(DD8="","n/a", DD8/DE8)</f>
        <v>n/a</v>
      </c>
      <c r="DH8" s="69"/>
      <c r="DI8" s="69"/>
      <c r="DJ8" s="69"/>
      <c r="DK8" s="70" t="str">
        <f t="shared" ref="DK8:DK32" si="27">IF(DH8="","n/a", DH8/DI8)</f>
        <v>n/a</v>
      </c>
      <c r="DL8" s="67"/>
      <c r="DM8" s="67"/>
      <c r="DN8" s="67"/>
      <c r="DO8" s="68" t="str">
        <f t="shared" ref="DO8:DO32" si="28">IF(DL8="","n/a", DL8/DM8)</f>
        <v>n/a</v>
      </c>
      <c r="DP8" s="69"/>
      <c r="DQ8" s="69"/>
      <c r="DR8" s="69"/>
      <c r="DS8" s="70" t="str">
        <f t="shared" ref="DS8:DS32" si="29">IF(DP8="","n/a", DP8/DQ8)</f>
        <v>n/a</v>
      </c>
      <c r="DT8" s="66" t="str">
        <f>IF(F8="","n/a",AVERAGE(F8,J8,N8,R8,V8,Z8,AD8,AH8,AL8,AP8,AT8,AX8,BB8,BF8,BJ8,BN8,BR8,BV8,BZ8,CD8,CH8,CL8,CP8,CT8,CX8,DB8,DF8,DJ8,DN8,DR8))</f>
        <v>n/a</v>
      </c>
      <c r="DU8" s="66" t="str">
        <f>IF(F8="","n/a",STDEV(F8,J8,N8,R8,V8,Z8,AD8,AH8,AL8,AP8,AT8,AX8,BB8,BF8,BJ8,BN8,BR8,BV8,BZ8,CD8,CH8,CL8,CP8,CT8,CX8,DB8,DF8,DJ8,DN8,DR8))</f>
        <v>n/a</v>
      </c>
    </row>
    <row r="9" spans="1:125" s="40" customFormat="1" ht="31" customHeight="1" x14ac:dyDescent="0.25">
      <c r="A9" s="66"/>
      <c r="B9" s="66"/>
      <c r="C9" s="66"/>
      <c r="D9" s="67"/>
      <c r="E9" s="67"/>
      <c r="F9" s="67"/>
      <c r="G9" s="68" t="str">
        <f t="shared" si="0"/>
        <v>n/a</v>
      </c>
      <c r="H9" s="69"/>
      <c r="I9" s="69"/>
      <c r="J9" s="69"/>
      <c r="K9" s="70" t="str">
        <f t="shared" si="1"/>
        <v>n/a</v>
      </c>
      <c r="L9" s="67"/>
      <c r="M9" s="67"/>
      <c r="N9" s="67"/>
      <c r="O9" s="68" t="str">
        <f t="shared" si="2"/>
        <v>n/a</v>
      </c>
      <c r="P9" s="69"/>
      <c r="Q9" s="69"/>
      <c r="R9" s="69"/>
      <c r="S9" s="70" t="str">
        <f t="shared" si="3"/>
        <v>n/a</v>
      </c>
      <c r="T9" s="67"/>
      <c r="U9" s="67"/>
      <c r="V9" s="67"/>
      <c r="W9" s="68" t="str">
        <f t="shared" si="4"/>
        <v>n/a</v>
      </c>
      <c r="X9" s="69"/>
      <c r="Y9" s="69"/>
      <c r="Z9" s="69"/>
      <c r="AA9" s="70" t="str">
        <f t="shared" si="5"/>
        <v>n/a</v>
      </c>
      <c r="AB9" s="67"/>
      <c r="AC9" s="67"/>
      <c r="AD9" s="67"/>
      <c r="AE9" s="68" t="str">
        <f t="shared" si="6"/>
        <v>n/a</v>
      </c>
      <c r="AF9" s="69"/>
      <c r="AG9" s="69"/>
      <c r="AH9" s="69"/>
      <c r="AI9" s="70" t="str">
        <f t="shared" si="7"/>
        <v>n/a</v>
      </c>
      <c r="AJ9" s="67"/>
      <c r="AK9" s="67"/>
      <c r="AL9" s="67"/>
      <c r="AM9" s="68" t="str">
        <f t="shared" si="8"/>
        <v>n/a</v>
      </c>
      <c r="AN9" s="69"/>
      <c r="AO9" s="69"/>
      <c r="AP9" s="69"/>
      <c r="AQ9" s="70" t="str">
        <f t="shared" si="9"/>
        <v>n/a</v>
      </c>
      <c r="AR9" s="67"/>
      <c r="AS9" s="67"/>
      <c r="AT9" s="67"/>
      <c r="AU9" s="68" t="str">
        <f t="shared" si="10"/>
        <v>n/a</v>
      </c>
      <c r="AV9" s="69"/>
      <c r="AW9" s="69"/>
      <c r="AX9" s="69"/>
      <c r="AY9" s="70" t="str">
        <f t="shared" si="11"/>
        <v>n/a</v>
      </c>
      <c r="AZ9" s="67"/>
      <c r="BA9" s="67"/>
      <c r="BB9" s="67"/>
      <c r="BC9" s="68" t="str">
        <f t="shared" si="12"/>
        <v>n/a</v>
      </c>
      <c r="BD9" s="69"/>
      <c r="BE9" s="69"/>
      <c r="BF9" s="69"/>
      <c r="BG9" s="70" t="str">
        <f t="shared" si="13"/>
        <v>n/a</v>
      </c>
      <c r="BH9" s="67"/>
      <c r="BI9" s="67"/>
      <c r="BJ9" s="67"/>
      <c r="BK9" s="68" t="str">
        <f t="shared" si="14"/>
        <v>n/a</v>
      </c>
      <c r="BL9" s="69"/>
      <c r="BM9" s="69"/>
      <c r="BN9" s="69"/>
      <c r="BO9" s="70" t="str">
        <f t="shared" si="15"/>
        <v>n/a</v>
      </c>
      <c r="BP9" s="67"/>
      <c r="BQ9" s="67"/>
      <c r="BR9" s="67"/>
      <c r="BS9" s="68" t="str">
        <f t="shared" si="16"/>
        <v>n/a</v>
      </c>
      <c r="BT9" s="69"/>
      <c r="BU9" s="69"/>
      <c r="BV9" s="69"/>
      <c r="BW9" s="70" t="str">
        <f t="shared" si="17"/>
        <v>n/a</v>
      </c>
      <c r="BX9" s="67"/>
      <c r="BY9" s="67"/>
      <c r="BZ9" s="67"/>
      <c r="CA9" s="68" t="str">
        <f t="shared" si="18"/>
        <v>n/a</v>
      </c>
      <c r="CB9" s="69"/>
      <c r="CC9" s="69"/>
      <c r="CD9" s="69"/>
      <c r="CE9" s="70" t="str">
        <f t="shared" si="19"/>
        <v>n/a</v>
      </c>
      <c r="CF9" s="67"/>
      <c r="CG9" s="67"/>
      <c r="CH9" s="67"/>
      <c r="CI9" s="68" t="str">
        <f t="shared" si="20"/>
        <v>n/a</v>
      </c>
      <c r="CJ9" s="69"/>
      <c r="CK9" s="69"/>
      <c r="CL9" s="69"/>
      <c r="CM9" s="70" t="str">
        <f t="shared" si="21"/>
        <v>n/a</v>
      </c>
      <c r="CN9" s="67"/>
      <c r="CO9" s="67"/>
      <c r="CP9" s="67"/>
      <c r="CQ9" s="68" t="str">
        <f t="shared" si="22"/>
        <v>n/a</v>
      </c>
      <c r="CR9" s="69"/>
      <c r="CS9" s="69"/>
      <c r="CT9" s="69"/>
      <c r="CU9" s="70" t="str">
        <f t="shared" si="23"/>
        <v>n/a</v>
      </c>
      <c r="CV9" s="67"/>
      <c r="CW9" s="67"/>
      <c r="CX9" s="67"/>
      <c r="CY9" s="68" t="str">
        <f t="shared" si="24"/>
        <v>n/a</v>
      </c>
      <c r="CZ9" s="69"/>
      <c r="DA9" s="69"/>
      <c r="DB9" s="69"/>
      <c r="DC9" s="70" t="str">
        <f t="shared" si="25"/>
        <v>n/a</v>
      </c>
      <c r="DD9" s="67"/>
      <c r="DE9" s="67"/>
      <c r="DF9" s="67"/>
      <c r="DG9" s="68" t="str">
        <f t="shared" si="26"/>
        <v>n/a</v>
      </c>
      <c r="DH9" s="69"/>
      <c r="DI9" s="69"/>
      <c r="DJ9" s="69"/>
      <c r="DK9" s="70" t="str">
        <f t="shared" si="27"/>
        <v>n/a</v>
      </c>
      <c r="DL9" s="67"/>
      <c r="DM9" s="67"/>
      <c r="DN9" s="67"/>
      <c r="DO9" s="68" t="str">
        <f t="shared" si="28"/>
        <v>n/a</v>
      </c>
      <c r="DP9" s="69"/>
      <c r="DQ9" s="69"/>
      <c r="DR9" s="69"/>
      <c r="DS9" s="70" t="str">
        <f t="shared" si="29"/>
        <v>n/a</v>
      </c>
      <c r="DT9" s="66" t="str">
        <f t="shared" ref="DT9:DT32" si="30">IF(F9="","n/a",AVERAGE(F9,J9,N9,R9,V9,Z9,AD9,AH9,AL9,AP9,AT9,AX9,BB9,BF9,BJ9,BN9,BR9,BV9,BZ9,CD9,CH9,CL9,CP9,CT9,CX9,DB9,DF9,DJ9,DN9,DR9))</f>
        <v>n/a</v>
      </c>
      <c r="DU9" s="66" t="str">
        <f t="shared" ref="DU9:DU32" si="31">IF(F9="","n/a",STDEV(F9,J9,N9,R9,V9,Z9,AD9,AH9,AL9,AP9,AT9,AX9,BB9,BF9,BJ9,BN9,BR9,BV9,BZ9,CD9,CH9,CL9,CP9,CT9,CX9,DB9,DF9,DJ9,DN9,DR9))</f>
        <v>n/a</v>
      </c>
    </row>
    <row r="10" spans="1:125" s="40" customFormat="1" ht="31" customHeight="1" x14ac:dyDescent="0.25">
      <c r="A10" s="66"/>
      <c r="B10" s="66"/>
      <c r="C10" s="66"/>
      <c r="D10" s="67"/>
      <c r="E10" s="67"/>
      <c r="F10" s="67"/>
      <c r="G10" s="68" t="str">
        <f t="shared" si="0"/>
        <v>n/a</v>
      </c>
      <c r="H10" s="69"/>
      <c r="I10" s="69"/>
      <c r="J10" s="69"/>
      <c r="K10" s="70" t="str">
        <f t="shared" si="1"/>
        <v>n/a</v>
      </c>
      <c r="L10" s="67"/>
      <c r="M10" s="67"/>
      <c r="N10" s="67"/>
      <c r="O10" s="68" t="str">
        <f t="shared" si="2"/>
        <v>n/a</v>
      </c>
      <c r="P10" s="69"/>
      <c r="Q10" s="69"/>
      <c r="R10" s="69"/>
      <c r="S10" s="70" t="str">
        <f t="shared" si="3"/>
        <v>n/a</v>
      </c>
      <c r="T10" s="67"/>
      <c r="U10" s="67"/>
      <c r="V10" s="67"/>
      <c r="W10" s="68" t="str">
        <f t="shared" si="4"/>
        <v>n/a</v>
      </c>
      <c r="X10" s="69"/>
      <c r="Y10" s="69"/>
      <c r="Z10" s="69"/>
      <c r="AA10" s="70" t="str">
        <f t="shared" si="5"/>
        <v>n/a</v>
      </c>
      <c r="AB10" s="67"/>
      <c r="AC10" s="67"/>
      <c r="AD10" s="67"/>
      <c r="AE10" s="68" t="str">
        <f t="shared" si="6"/>
        <v>n/a</v>
      </c>
      <c r="AF10" s="69"/>
      <c r="AG10" s="69"/>
      <c r="AH10" s="69"/>
      <c r="AI10" s="70" t="str">
        <f t="shared" si="7"/>
        <v>n/a</v>
      </c>
      <c r="AJ10" s="67"/>
      <c r="AK10" s="67"/>
      <c r="AL10" s="67"/>
      <c r="AM10" s="68" t="str">
        <f t="shared" si="8"/>
        <v>n/a</v>
      </c>
      <c r="AN10" s="69"/>
      <c r="AO10" s="69"/>
      <c r="AP10" s="69"/>
      <c r="AQ10" s="70" t="str">
        <f t="shared" si="9"/>
        <v>n/a</v>
      </c>
      <c r="AR10" s="67"/>
      <c r="AS10" s="67"/>
      <c r="AT10" s="67"/>
      <c r="AU10" s="68" t="str">
        <f t="shared" si="10"/>
        <v>n/a</v>
      </c>
      <c r="AV10" s="69"/>
      <c r="AW10" s="69"/>
      <c r="AX10" s="69"/>
      <c r="AY10" s="70" t="str">
        <f t="shared" si="11"/>
        <v>n/a</v>
      </c>
      <c r="AZ10" s="67"/>
      <c r="BA10" s="67"/>
      <c r="BB10" s="67"/>
      <c r="BC10" s="68" t="str">
        <f t="shared" si="12"/>
        <v>n/a</v>
      </c>
      <c r="BD10" s="69"/>
      <c r="BE10" s="69"/>
      <c r="BF10" s="69"/>
      <c r="BG10" s="70" t="str">
        <f t="shared" si="13"/>
        <v>n/a</v>
      </c>
      <c r="BH10" s="67"/>
      <c r="BI10" s="67"/>
      <c r="BJ10" s="67"/>
      <c r="BK10" s="68" t="str">
        <f t="shared" si="14"/>
        <v>n/a</v>
      </c>
      <c r="BL10" s="69"/>
      <c r="BM10" s="69"/>
      <c r="BN10" s="69"/>
      <c r="BO10" s="70" t="str">
        <f t="shared" si="15"/>
        <v>n/a</v>
      </c>
      <c r="BP10" s="67"/>
      <c r="BQ10" s="67"/>
      <c r="BR10" s="67"/>
      <c r="BS10" s="68" t="str">
        <f t="shared" si="16"/>
        <v>n/a</v>
      </c>
      <c r="BT10" s="69"/>
      <c r="BU10" s="69"/>
      <c r="BV10" s="69"/>
      <c r="BW10" s="70" t="str">
        <f t="shared" si="17"/>
        <v>n/a</v>
      </c>
      <c r="BX10" s="67"/>
      <c r="BY10" s="67"/>
      <c r="BZ10" s="67"/>
      <c r="CA10" s="68" t="str">
        <f t="shared" si="18"/>
        <v>n/a</v>
      </c>
      <c r="CB10" s="69"/>
      <c r="CC10" s="69"/>
      <c r="CD10" s="69"/>
      <c r="CE10" s="70" t="str">
        <f t="shared" si="19"/>
        <v>n/a</v>
      </c>
      <c r="CF10" s="67"/>
      <c r="CG10" s="67"/>
      <c r="CH10" s="67"/>
      <c r="CI10" s="68" t="str">
        <f t="shared" si="20"/>
        <v>n/a</v>
      </c>
      <c r="CJ10" s="69"/>
      <c r="CK10" s="69"/>
      <c r="CL10" s="69"/>
      <c r="CM10" s="70" t="str">
        <f t="shared" si="21"/>
        <v>n/a</v>
      </c>
      <c r="CN10" s="67"/>
      <c r="CO10" s="67"/>
      <c r="CP10" s="67"/>
      <c r="CQ10" s="68" t="str">
        <f t="shared" si="22"/>
        <v>n/a</v>
      </c>
      <c r="CR10" s="69"/>
      <c r="CS10" s="69"/>
      <c r="CT10" s="69"/>
      <c r="CU10" s="70" t="str">
        <f t="shared" si="23"/>
        <v>n/a</v>
      </c>
      <c r="CV10" s="67"/>
      <c r="CW10" s="67"/>
      <c r="CX10" s="67"/>
      <c r="CY10" s="68" t="str">
        <f t="shared" si="24"/>
        <v>n/a</v>
      </c>
      <c r="CZ10" s="69"/>
      <c r="DA10" s="69"/>
      <c r="DB10" s="69"/>
      <c r="DC10" s="70" t="str">
        <f t="shared" si="25"/>
        <v>n/a</v>
      </c>
      <c r="DD10" s="67"/>
      <c r="DE10" s="67"/>
      <c r="DF10" s="67"/>
      <c r="DG10" s="68" t="str">
        <f t="shared" si="26"/>
        <v>n/a</v>
      </c>
      <c r="DH10" s="69"/>
      <c r="DI10" s="69"/>
      <c r="DJ10" s="69"/>
      <c r="DK10" s="70" t="str">
        <f t="shared" si="27"/>
        <v>n/a</v>
      </c>
      <c r="DL10" s="67"/>
      <c r="DM10" s="67"/>
      <c r="DN10" s="67"/>
      <c r="DO10" s="68" t="str">
        <f t="shared" si="28"/>
        <v>n/a</v>
      </c>
      <c r="DP10" s="69"/>
      <c r="DQ10" s="69"/>
      <c r="DR10" s="69"/>
      <c r="DS10" s="70" t="str">
        <f t="shared" si="29"/>
        <v>n/a</v>
      </c>
      <c r="DT10" s="66" t="str">
        <f t="shared" si="30"/>
        <v>n/a</v>
      </c>
      <c r="DU10" s="66" t="str">
        <f t="shared" si="31"/>
        <v>n/a</v>
      </c>
    </row>
    <row r="11" spans="1:125" s="40" customFormat="1" ht="31" customHeight="1" x14ac:dyDescent="0.25">
      <c r="A11" s="66"/>
      <c r="B11" s="66"/>
      <c r="C11" s="66"/>
      <c r="D11" s="67"/>
      <c r="E11" s="67"/>
      <c r="F11" s="67"/>
      <c r="G11" s="68" t="str">
        <f t="shared" si="0"/>
        <v>n/a</v>
      </c>
      <c r="H11" s="69"/>
      <c r="I11" s="69"/>
      <c r="J11" s="69"/>
      <c r="K11" s="70" t="str">
        <f t="shared" si="1"/>
        <v>n/a</v>
      </c>
      <c r="L11" s="67"/>
      <c r="M11" s="67"/>
      <c r="N11" s="67"/>
      <c r="O11" s="68" t="str">
        <f t="shared" si="2"/>
        <v>n/a</v>
      </c>
      <c r="P11" s="69"/>
      <c r="Q11" s="69"/>
      <c r="R11" s="69"/>
      <c r="S11" s="70" t="str">
        <f t="shared" si="3"/>
        <v>n/a</v>
      </c>
      <c r="T11" s="67"/>
      <c r="U11" s="67"/>
      <c r="V11" s="67"/>
      <c r="W11" s="68" t="str">
        <f t="shared" si="4"/>
        <v>n/a</v>
      </c>
      <c r="X11" s="69"/>
      <c r="Y11" s="69"/>
      <c r="Z11" s="69"/>
      <c r="AA11" s="70" t="str">
        <f t="shared" si="5"/>
        <v>n/a</v>
      </c>
      <c r="AB11" s="67"/>
      <c r="AC11" s="67"/>
      <c r="AD11" s="67"/>
      <c r="AE11" s="68" t="str">
        <f t="shared" si="6"/>
        <v>n/a</v>
      </c>
      <c r="AF11" s="69"/>
      <c r="AG11" s="69"/>
      <c r="AH11" s="69"/>
      <c r="AI11" s="70" t="str">
        <f t="shared" si="7"/>
        <v>n/a</v>
      </c>
      <c r="AJ11" s="67"/>
      <c r="AK11" s="67"/>
      <c r="AL11" s="67"/>
      <c r="AM11" s="68" t="str">
        <f t="shared" si="8"/>
        <v>n/a</v>
      </c>
      <c r="AN11" s="69"/>
      <c r="AO11" s="69"/>
      <c r="AP11" s="69"/>
      <c r="AQ11" s="70" t="str">
        <f t="shared" si="9"/>
        <v>n/a</v>
      </c>
      <c r="AR11" s="67"/>
      <c r="AS11" s="67"/>
      <c r="AT11" s="67"/>
      <c r="AU11" s="68" t="str">
        <f t="shared" si="10"/>
        <v>n/a</v>
      </c>
      <c r="AV11" s="69"/>
      <c r="AW11" s="69"/>
      <c r="AX11" s="69"/>
      <c r="AY11" s="70" t="str">
        <f t="shared" si="11"/>
        <v>n/a</v>
      </c>
      <c r="AZ11" s="67"/>
      <c r="BA11" s="67"/>
      <c r="BB11" s="67"/>
      <c r="BC11" s="68" t="str">
        <f t="shared" si="12"/>
        <v>n/a</v>
      </c>
      <c r="BD11" s="69"/>
      <c r="BE11" s="69"/>
      <c r="BF11" s="69"/>
      <c r="BG11" s="70" t="str">
        <f t="shared" si="13"/>
        <v>n/a</v>
      </c>
      <c r="BH11" s="67"/>
      <c r="BI11" s="67"/>
      <c r="BJ11" s="67"/>
      <c r="BK11" s="68" t="str">
        <f t="shared" si="14"/>
        <v>n/a</v>
      </c>
      <c r="BL11" s="69"/>
      <c r="BM11" s="69"/>
      <c r="BN11" s="69"/>
      <c r="BO11" s="70" t="str">
        <f t="shared" si="15"/>
        <v>n/a</v>
      </c>
      <c r="BP11" s="67"/>
      <c r="BQ11" s="67"/>
      <c r="BR11" s="67"/>
      <c r="BS11" s="68" t="str">
        <f t="shared" si="16"/>
        <v>n/a</v>
      </c>
      <c r="BT11" s="69"/>
      <c r="BU11" s="69"/>
      <c r="BV11" s="69"/>
      <c r="BW11" s="70" t="str">
        <f t="shared" si="17"/>
        <v>n/a</v>
      </c>
      <c r="BX11" s="67"/>
      <c r="BY11" s="67"/>
      <c r="BZ11" s="67"/>
      <c r="CA11" s="68" t="str">
        <f t="shared" si="18"/>
        <v>n/a</v>
      </c>
      <c r="CB11" s="69"/>
      <c r="CC11" s="69"/>
      <c r="CD11" s="69"/>
      <c r="CE11" s="70" t="str">
        <f t="shared" si="19"/>
        <v>n/a</v>
      </c>
      <c r="CF11" s="67"/>
      <c r="CG11" s="67"/>
      <c r="CH11" s="67"/>
      <c r="CI11" s="68" t="str">
        <f t="shared" si="20"/>
        <v>n/a</v>
      </c>
      <c r="CJ11" s="69"/>
      <c r="CK11" s="69"/>
      <c r="CL11" s="69"/>
      <c r="CM11" s="70" t="str">
        <f t="shared" si="21"/>
        <v>n/a</v>
      </c>
      <c r="CN11" s="67"/>
      <c r="CO11" s="67"/>
      <c r="CP11" s="67"/>
      <c r="CQ11" s="68" t="str">
        <f t="shared" si="22"/>
        <v>n/a</v>
      </c>
      <c r="CR11" s="69"/>
      <c r="CS11" s="69"/>
      <c r="CT11" s="69"/>
      <c r="CU11" s="70" t="str">
        <f t="shared" si="23"/>
        <v>n/a</v>
      </c>
      <c r="CV11" s="67"/>
      <c r="CW11" s="67"/>
      <c r="CX11" s="67"/>
      <c r="CY11" s="68" t="str">
        <f t="shared" si="24"/>
        <v>n/a</v>
      </c>
      <c r="CZ11" s="69"/>
      <c r="DA11" s="69"/>
      <c r="DB11" s="69"/>
      <c r="DC11" s="70" t="str">
        <f t="shared" si="25"/>
        <v>n/a</v>
      </c>
      <c r="DD11" s="67"/>
      <c r="DE11" s="67"/>
      <c r="DF11" s="67"/>
      <c r="DG11" s="68" t="str">
        <f t="shared" si="26"/>
        <v>n/a</v>
      </c>
      <c r="DH11" s="69"/>
      <c r="DI11" s="69"/>
      <c r="DJ11" s="69"/>
      <c r="DK11" s="70" t="str">
        <f t="shared" si="27"/>
        <v>n/a</v>
      </c>
      <c r="DL11" s="67"/>
      <c r="DM11" s="67"/>
      <c r="DN11" s="67"/>
      <c r="DO11" s="68" t="str">
        <f t="shared" si="28"/>
        <v>n/a</v>
      </c>
      <c r="DP11" s="69"/>
      <c r="DQ11" s="69"/>
      <c r="DR11" s="69"/>
      <c r="DS11" s="70" t="str">
        <f t="shared" si="29"/>
        <v>n/a</v>
      </c>
      <c r="DT11" s="66" t="str">
        <f t="shared" si="30"/>
        <v>n/a</v>
      </c>
      <c r="DU11" s="66" t="str">
        <f t="shared" si="31"/>
        <v>n/a</v>
      </c>
    </row>
    <row r="12" spans="1:125" s="40" customFormat="1" ht="31" customHeight="1" x14ac:dyDescent="0.25">
      <c r="A12" s="66"/>
      <c r="B12" s="66"/>
      <c r="C12" s="66"/>
      <c r="D12" s="67"/>
      <c r="E12" s="67"/>
      <c r="F12" s="67"/>
      <c r="G12" s="68" t="str">
        <f t="shared" si="0"/>
        <v>n/a</v>
      </c>
      <c r="H12" s="69"/>
      <c r="I12" s="69"/>
      <c r="J12" s="69"/>
      <c r="K12" s="70" t="str">
        <f t="shared" si="1"/>
        <v>n/a</v>
      </c>
      <c r="L12" s="67"/>
      <c r="M12" s="67"/>
      <c r="N12" s="67"/>
      <c r="O12" s="68" t="str">
        <f t="shared" si="2"/>
        <v>n/a</v>
      </c>
      <c r="P12" s="69"/>
      <c r="Q12" s="69"/>
      <c r="R12" s="69"/>
      <c r="S12" s="70" t="str">
        <f t="shared" si="3"/>
        <v>n/a</v>
      </c>
      <c r="T12" s="67"/>
      <c r="U12" s="67"/>
      <c r="V12" s="67"/>
      <c r="W12" s="68" t="str">
        <f t="shared" si="4"/>
        <v>n/a</v>
      </c>
      <c r="X12" s="69"/>
      <c r="Y12" s="69"/>
      <c r="Z12" s="69"/>
      <c r="AA12" s="70" t="str">
        <f t="shared" si="5"/>
        <v>n/a</v>
      </c>
      <c r="AB12" s="67"/>
      <c r="AC12" s="67"/>
      <c r="AD12" s="67"/>
      <c r="AE12" s="68" t="str">
        <f t="shared" si="6"/>
        <v>n/a</v>
      </c>
      <c r="AF12" s="69"/>
      <c r="AG12" s="69"/>
      <c r="AH12" s="69"/>
      <c r="AI12" s="70" t="str">
        <f t="shared" si="7"/>
        <v>n/a</v>
      </c>
      <c r="AJ12" s="67"/>
      <c r="AK12" s="67"/>
      <c r="AL12" s="67"/>
      <c r="AM12" s="68" t="str">
        <f t="shared" si="8"/>
        <v>n/a</v>
      </c>
      <c r="AN12" s="69"/>
      <c r="AO12" s="69"/>
      <c r="AP12" s="69"/>
      <c r="AQ12" s="70" t="str">
        <f t="shared" si="9"/>
        <v>n/a</v>
      </c>
      <c r="AR12" s="67"/>
      <c r="AS12" s="67"/>
      <c r="AT12" s="67"/>
      <c r="AU12" s="68" t="str">
        <f t="shared" si="10"/>
        <v>n/a</v>
      </c>
      <c r="AV12" s="69"/>
      <c r="AW12" s="69"/>
      <c r="AX12" s="69"/>
      <c r="AY12" s="70" t="str">
        <f t="shared" si="11"/>
        <v>n/a</v>
      </c>
      <c r="AZ12" s="67"/>
      <c r="BA12" s="67"/>
      <c r="BB12" s="67"/>
      <c r="BC12" s="68" t="str">
        <f t="shared" si="12"/>
        <v>n/a</v>
      </c>
      <c r="BD12" s="69"/>
      <c r="BE12" s="69"/>
      <c r="BF12" s="69"/>
      <c r="BG12" s="70" t="str">
        <f t="shared" si="13"/>
        <v>n/a</v>
      </c>
      <c r="BH12" s="67"/>
      <c r="BI12" s="67"/>
      <c r="BJ12" s="67"/>
      <c r="BK12" s="68" t="str">
        <f t="shared" si="14"/>
        <v>n/a</v>
      </c>
      <c r="BL12" s="69"/>
      <c r="BM12" s="69"/>
      <c r="BN12" s="69"/>
      <c r="BO12" s="70" t="str">
        <f t="shared" si="15"/>
        <v>n/a</v>
      </c>
      <c r="BP12" s="67"/>
      <c r="BQ12" s="67"/>
      <c r="BR12" s="67"/>
      <c r="BS12" s="68" t="str">
        <f t="shared" si="16"/>
        <v>n/a</v>
      </c>
      <c r="BT12" s="69"/>
      <c r="BU12" s="69"/>
      <c r="BV12" s="69"/>
      <c r="BW12" s="70" t="str">
        <f t="shared" si="17"/>
        <v>n/a</v>
      </c>
      <c r="BX12" s="67"/>
      <c r="BY12" s="67"/>
      <c r="BZ12" s="67"/>
      <c r="CA12" s="68" t="str">
        <f t="shared" si="18"/>
        <v>n/a</v>
      </c>
      <c r="CB12" s="69"/>
      <c r="CC12" s="69"/>
      <c r="CD12" s="69"/>
      <c r="CE12" s="70" t="str">
        <f t="shared" si="19"/>
        <v>n/a</v>
      </c>
      <c r="CF12" s="67"/>
      <c r="CG12" s="67"/>
      <c r="CH12" s="67"/>
      <c r="CI12" s="68" t="str">
        <f t="shared" si="20"/>
        <v>n/a</v>
      </c>
      <c r="CJ12" s="69"/>
      <c r="CK12" s="69"/>
      <c r="CL12" s="69"/>
      <c r="CM12" s="70" t="str">
        <f t="shared" si="21"/>
        <v>n/a</v>
      </c>
      <c r="CN12" s="67"/>
      <c r="CO12" s="67"/>
      <c r="CP12" s="67"/>
      <c r="CQ12" s="68" t="str">
        <f t="shared" si="22"/>
        <v>n/a</v>
      </c>
      <c r="CR12" s="69"/>
      <c r="CS12" s="69"/>
      <c r="CT12" s="69"/>
      <c r="CU12" s="70" t="str">
        <f t="shared" si="23"/>
        <v>n/a</v>
      </c>
      <c r="CV12" s="67"/>
      <c r="CW12" s="67"/>
      <c r="CX12" s="67"/>
      <c r="CY12" s="68" t="str">
        <f t="shared" si="24"/>
        <v>n/a</v>
      </c>
      <c r="CZ12" s="69"/>
      <c r="DA12" s="69"/>
      <c r="DB12" s="69"/>
      <c r="DC12" s="70" t="str">
        <f t="shared" si="25"/>
        <v>n/a</v>
      </c>
      <c r="DD12" s="67"/>
      <c r="DE12" s="67"/>
      <c r="DF12" s="67"/>
      <c r="DG12" s="68" t="str">
        <f t="shared" si="26"/>
        <v>n/a</v>
      </c>
      <c r="DH12" s="69"/>
      <c r="DI12" s="69"/>
      <c r="DJ12" s="69"/>
      <c r="DK12" s="70" t="str">
        <f t="shared" si="27"/>
        <v>n/a</v>
      </c>
      <c r="DL12" s="67"/>
      <c r="DM12" s="67"/>
      <c r="DN12" s="67"/>
      <c r="DO12" s="68" t="str">
        <f t="shared" si="28"/>
        <v>n/a</v>
      </c>
      <c r="DP12" s="69"/>
      <c r="DQ12" s="69"/>
      <c r="DR12" s="69"/>
      <c r="DS12" s="70" t="str">
        <f t="shared" si="29"/>
        <v>n/a</v>
      </c>
      <c r="DT12" s="66" t="str">
        <f t="shared" si="30"/>
        <v>n/a</v>
      </c>
      <c r="DU12" s="66" t="str">
        <f t="shared" si="31"/>
        <v>n/a</v>
      </c>
    </row>
    <row r="13" spans="1:125" s="40" customFormat="1" ht="31" customHeight="1" x14ac:dyDescent="0.25">
      <c r="A13" s="66"/>
      <c r="B13" s="66"/>
      <c r="C13" s="66"/>
      <c r="D13" s="67"/>
      <c r="E13" s="67"/>
      <c r="F13" s="67"/>
      <c r="G13" s="68" t="str">
        <f t="shared" si="0"/>
        <v>n/a</v>
      </c>
      <c r="H13" s="69"/>
      <c r="I13" s="69"/>
      <c r="J13" s="69"/>
      <c r="K13" s="70" t="str">
        <f t="shared" si="1"/>
        <v>n/a</v>
      </c>
      <c r="L13" s="67"/>
      <c r="M13" s="67"/>
      <c r="N13" s="67"/>
      <c r="O13" s="68" t="str">
        <f t="shared" si="2"/>
        <v>n/a</v>
      </c>
      <c r="P13" s="69"/>
      <c r="Q13" s="69"/>
      <c r="R13" s="69"/>
      <c r="S13" s="70" t="str">
        <f t="shared" si="3"/>
        <v>n/a</v>
      </c>
      <c r="T13" s="67"/>
      <c r="U13" s="67"/>
      <c r="V13" s="67"/>
      <c r="W13" s="68" t="str">
        <f t="shared" si="4"/>
        <v>n/a</v>
      </c>
      <c r="X13" s="69"/>
      <c r="Y13" s="69"/>
      <c r="Z13" s="69"/>
      <c r="AA13" s="70" t="str">
        <f t="shared" si="5"/>
        <v>n/a</v>
      </c>
      <c r="AB13" s="67"/>
      <c r="AC13" s="67"/>
      <c r="AD13" s="67"/>
      <c r="AE13" s="68" t="str">
        <f t="shared" si="6"/>
        <v>n/a</v>
      </c>
      <c r="AF13" s="69"/>
      <c r="AG13" s="69"/>
      <c r="AH13" s="69"/>
      <c r="AI13" s="70" t="str">
        <f t="shared" si="7"/>
        <v>n/a</v>
      </c>
      <c r="AJ13" s="67"/>
      <c r="AK13" s="67"/>
      <c r="AL13" s="67"/>
      <c r="AM13" s="68" t="str">
        <f t="shared" si="8"/>
        <v>n/a</v>
      </c>
      <c r="AN13" s="69"/>
      <c r="AO13" s="69"/>
      <c r="AP13" s="69"/>
      <c r="AQ13" s="70" t="str">
        <f t="shared" si="9"/>
        <v>n/a</v>
      </c>
      <c r="AR13" s="67"/>
      <c r="AS13" s="67"/>
      <c r="AT13" s="67"/>
      <c r="AU13" s="68" t="str">
        <f t="shared" si="10"/>
        <v>n/a</v>
      </c>
      <c r="AV13" s="69"/>
      <c r="AW13" s="69"/>
      <c r="AX13" s="69"/>
      <c r="AY13" s="70" t="str">
        <f t="shared" si="11"/>
        <v>n/a</v>
      </c>
      <c r="AZ13" s="67"/>
      <c r="BA13" s="67"/>
      <c r="BB13" s="67"/>
      <c r="BC13" s="68" t="str">
        <f t="shared" si="12"/>
        <v>n/a</v>
      </c>
      <c r="BD13" s="69"/>
      <c r="BE13" s="69"/>
      <c r="BF13" s="69"/>
      <c r="BG13" s="70" t="str">
        <f t="shared" si="13"/>
        <v>n/a</v>
      </c>
      <c r="BH13" s="67"/>
      <c r="BI13" s="67"/>
      <c r="BJ13" s="67"/>
      <c r="BK13" s="68" t="str">
        <f t="shared" si="14"/>
        <v>n/a</v>
      </c>
      <c r="BL13" s="69"/>
      <c r="BM13" s="69"/>
      <c r="BN13" s="69"/>
      <c r="BO13" s="70" t="str">
        <f t="shared" si="15"/>
        <v>n/a</v>
      </c>
      <c r="BP13" s="67"/>
      <c r="BQ13" s="67"/>
      <c r="BR13" s="67"/>
      <c r="BS13" s="68" t="str">
        <f t="shared" si="16"/>
        <v>n/a</v>
      </c>
      <c r="BT13" s="69"/>
      <c r="BU13" s="69"/>
      <c r="BV13" s="69"/>
      <c r="BW13" s="70" t="str">
        <f t="shared" si="17"/>
        <v>n/a</v>
      </c>
      <c r="BX13" s="67"/>
      <c r="BY13" s="67"/>
      <c r="BZ13" s="67"/>
      <c r="CA13" s="68" t="str">
        <f t="shared" si="18"/>
        <v>n/a</v>
      </c>
      <c r="CB13" s="69"/>
      <c r="CC13" s="69"/>
      <c r="CD13" s="69"/>
      <c r="CE13" s="70" t="str">
        <f t="shared" si="19"/>
        <v>n/a</v>
      </c>
      <c r="CF13" s="67"/>
      <c r="CG13" s="67"/>
      <c r="CH13" s="67"/>
      <c r="CI13" s="68" t="str">
        <f t="shared" si="20"/>
        <v>n/a</v>
      </c>
      <c r="CJ13" s="69"/>
      <c r="CK13" s="69"/>
      <c r="CL13" s="69"/>
      <c r="CM13" s="70" t="str">
        <f t="shared" si="21"/>
        <v>n/a</v>
      </c>
      <c r="CN13" s="67"/>
      <c r="CO13" s="67"/>
      <c r="CP13" s="67"/>
      <c r="CQ13" s="68" t="str">
        <f t="shared" si="22"/>
        <v>n/a</v>
      </c>
      <c r="CR13" s="69"/>
      <c r="CS13" s="69"/>
      <c r="CT13" s="69"/>
      <c r="CU13" s="70" t="str">
        <f t="shared" si="23"/>
        <v>n/a</v>
      </c>
      <c r="CV13" s="67"/>
      <c r="CW13" s="67"/>
      <c r="CX13" s="67"/>
      <c r="CY13" s="68" t="str">
        <f t="shared" si="24"/>
        <v>n/a</v>
      </c>
      <c r="CZ13" s="69"/>
      <c r="DA13" s="69"/>
      <c r="DB13" s="69"/>
      <c r="DC13" s="70" t="str">
        <f t="shared" si="25"/>
        <v>n/a</v>
      </c>
      <c r="DD13" s="67"/>
      <c r="DE13" s="67"/>
      <c r="DF13" s="67"/>
      <c r="DG13" s="68" t="str">
        <f t="shared" si="26"/>
        <v>n/a</v>
      </c>
      <c r="DH13" s="69"/>
      <c r="DI13" s="69"/>
      <c r="DJ13" s="69"/>
      <c r="DK13" s="70" t="str">
        <f t="shared" si="27"/>
        <v>n/a</v>
      </c>
      <c r="DL13" s="67"/>
      <c r="DM13" s="67"/>
      <c r="DN13" s="67"/>
      <c r="DO13" s="68" t="str">
        <f t="shared" si="28"/>
        <v>n/a</v>
      </c>
      <c r="DP13" s="69"/>
      <c r="DQ13" s="69"/>
      <c r="DR13" s="69"/>
      <c r="DS13" s="70" t="str">
        <f t="shared" si="29"/>
        <v>n/a</v>
      </c>
      <c r="DT13" s="66" t="str">
        <f t="shared" si="30"/>
        <v>n/a</v>
      </c>
      <c r="DU13" s="66" t="str">
        <f t="shared" si="31"/>
        <v>n/a</v>
      </c>
    </row>
    <row r="14" spans="1:125" s="40" customFormat="1" ht="31" customHeight="1" x14ac:dyDescent="0.25">
      <c r="A14" s="66"/>
      <c r="B14" s="66"/>
      <c r="C14" s="66"/>
      <c r="D14" s="67"/>
      <c r="E14" s="67"/>
      <c r="F14" s="67"/>
      <c r="G14" s="68" t="str">
        <f t="shared" si="0"/>
        <v>n/a</v>
      </c>
      <c r="H14" s="69"/>
      <c r="I14" s="69"/>
      <c r="J14" s="69"/>
      <c r="K14" s="70" t="str">
        <f t="shared" si="1"/>
        <v>n/a</v>
      </c>
      <c r="L14" s="67"/>
      <c r="M14" s="67"/>
      <c r="N14" s="67"/>
      <c r="O14" s="68" t="str">
        <f t="shared" si="2"/>
        <v>n/a</v>
      </c>
      <c r="P14" s="69"/>
      <c r="Q14" s="69"/>
      <c r="R14" s="69"/>
      <c r="S14" s="70" t="str">
        <f t="shared" si="3"/>
        <v>n/a</v>
      </c>
      <c r="T14" s="67"/>
      <c r="U14" s="67"/>
      <c r="V14" s="67"/>
      <c r="W14" s="68" t="str">
        <f t="shared" si="4"/>
        <v>n/a</v>
      </c>
      <c r="X14" s="69"/>
      <c r="Y14" s="69"/>
      <c r="Z14" s="69"/>
      <c r="AA14" s="70" t="str">
        <f t="shared" si="5"/>
        <v>n/a</v>
      </c>
      <c r="AB14" s="67"/>
      <c r="AC14" s="67"/>
      <c r="AD14" s="67"/>
      <c r="AE14" s="68" t="str">
        <f t="shared" si="6"/>
        <v>n/a</v>
      </c>
      <c r="AF14" s="69"/>
      <c r="AG14" s="69"/>
      <c r="AH14" s="69"/>
      <c r="AI14" s="70" t="str">
        <f t="shared" si="7"/>
        <v>n/a</v>
      </c>
      <c r="AJ14" s="67"/>
      <c r="AK14" s="67"/>
      <c r="AL14" s="67"/>
      <c r="AM14" s="68" t="str">
        <f t="shared" si="8"/>
        <v>n/a</v>
      </c>
      <c r="AN14" s="69"/>
      <c r="AO14" s="69"/>
      <c r="AP14" s="69"/>
      <c r="AQ14" s="70" t="str">
        <f t="shared" si="9"/>
        <v>n/a</v>
      </c>
      <c r="AR14" s="67"/>
      <c r="AS14" s="67"/>
      <c r="AT14" s="67"/>
      <c r="AU14" s="68" t="str">
        <f t="shared" si="10"/>
        <v>n/a</v>
      </c>
      <c r="AV14" s="69"/>
      <c r="AW14" s="69"/>
      <c r="AX14" s="69"/>
      <c r="AY14" s="70" t="str">
        <f t="shared" si="11"/>
        <v>n/a</v>
      </c>
      <c r="AZ14" s="67"/>
      <c r="BA14" s="67"/>
      <c r="BB14" s="67"/>
      <c r="BC14" s="68" t="str">
        <f t="shared" si="12"/>
        <v>n/a</v>
      </c>
      <c r="BD14" s="69"/>
      <c r="BE14" s="69"/>
      <c r="BF14" s="69"/>
      <c r="BG14" s="70" t="str">
        <f t="shared" si="13"/>
        <v>n/a</v>
      </c>
      <c r="BH14" s="67"/>
      <c r="BI14" s="67"/>
      <c r="BJ14" s="67"/>
      <c r="BK14" s="68" t="str">
        <f t="shared" si="14"/>
        <v>n/a</v>
      </c>
      <c r="BL14" s="69"/>
      <c r="BM14" s="69"/>
      <c r="BN14" s="69"/>
      <c r="BO14" s="70" t="str">
        <f t="shared" si="15"/>
        <v>n/a</v>
      </c>
      <c r="BP14" s="67"/>
      <c r="BQ14" s="67"/>
      <c r="BR14" s="67"/>
      <c r="BS14" s="68" t="str">
        <f t="shared" si="16"/>
        <v>n/a</v>
      </c>
      <c r="BT14" s="69"/>
      <c r="BU14" s="69"/>
      <c r="BV14" s="69"/>
      <c r="BW14" s="70" t="str">
        <f t="shared" si="17"/>
        <v>n/a</v>
      </c>
      <c r="BX14" s="67"/>
      <c r="BY14" s="67"/>
      <c r="BZ14" s="67"/>
      <c r="CA14" s="68" t="str">
        <f t="shared" si="18"/>
        <v>n/a</v>
      </c>
      <c r="CB14" s="69"/>
      <c r="CC14" s="69"/>
      <c r="CD14" s="69"/>
      <c r="CE14" s="70" t="str">
        <f t="shared" si="19"/>
        <v>n/a</v>
      </c>
      <c r="CF14" s="67"/>
      <c r="CG14" s="67"/>
      <c r="CH14" s="67"/>
      <c r="CI14" s="68" t="str">
        <f t="shared" si="20"/>
        <v>n/a</v>
      </c>
      <c r="CJ14" s="69"/>
      <c r="CK14" s="69"/>
      <c r="CL14" s="69"/>
      <c r="CM14" s="70" t="str">
        <f t="shared" si="21"/>
        <v>n/a</v>
      </c>
      <c r="CN14" s="67"/>
      <c r="CO14" s="67"/>
      <c r="CP14" s="67"/>
      <c r="CQ14" s="68" t="str">
        <f t="shared" si="22"/>
        <v>n/a</v>
      </c>
      <c r="CR14" s="69"/>
      <c r="CS14" s="69"/>
      <c r="CT14" s="69"/>
      <c r="CU14" s="70" t="str">
        <f t="shared" si="23"/>
        <v>n/a</v>
      </c>
      <c r="CV14" s="67"/>
      <c r="CW14" s="67"/>
      <c r="CX14" s="67"/>
      <c r="CY14" s="68" t="str">
        <f t="shared" si="24"/>
        <v>n/a</v>
      </c>
      <c r="CZ14" s="69"/>
      <c r="DA14" s="69"/>
      <c r="DB14" s="69"/>
      <c r="DC14" s="70" t="str">
        <f t="shared" si="25"/>
        <v>n/a</v>
      </c>
      <c r="DD14" s="67"/>
      <c r="DE14" s="67"/>
      <c r="DF14" s="67"/>
      <c r="DG14" s="68" t="str">
        <f t="shared" si="26"/>
        <v>n/a</v>
      </c>
      <c r="DH14" s="69"/>
      <c r="DI14" s="69"/>
      <c r="DJ14" s="69"/>
      <c r="DK14" s="70" t="str">
        <f t="shared" si="27"/>
        <v>n/a</v>
      </c>
      <c r="DL14" s="67"/>
      <c r="DM14" s="67"/>
      <c r="DN14" s="67"/>
      <c r="DO14" s="68" t="str">
        <f t="shared" si="28"/>
        <v>n/a</v>
      </c>
      <c r="DP14" s="69"/>
      <c r="DQ14" s="69"/>
      <c r="DR14" s="69"/>
      <c r="DS14" s="70" t="str">
        <f t="shared" si="29"/>
        <v>n/a</v>
      </c>
      <c r="DT14" s="66" t="str">
        <f t="shared" si="30"/>
        <v>n/a</v>
      </c>
      <c r="DU14" s="66" t="str">
        <f t="shared" si="31"/>
        <v>n/a</v>
      </c>
    </row>
    <row r="15" spans="1:125" s="40" customFormat="1" ht="31" customHeight="1" x14ac:dyDescent="0.25">
      <c r="A15" s="66"/>
      <c r="B15" s="66"/>
      <c r="C15" s="66"/>
      <c r="D15" s="67"/>
      <c r="E15" s="67"/>
      <c r="F15" s="67"/>
      <c r="G15" s="68" t="str">
        <f t="shared" si="0"/>
        <v>n/a</v>
      </c>
      <c r="H15" s="69"/>
      <c r="I15" s="69"/>
      <c r="J15" s="69"/>
      <c r="K15" s="70" t="str">
        <f t="shared" si="1"/>
        <v>n/a</v>
      </c>
      <c r="L15" s="67"/>
      <c r="M15" s="67"/>
      <c r="N15" s="67"/>
      <c r="O15" s="68" t="str">
        <f t="shared" si="2"/>
        <v>n/a</v>
      </c>
      <c r="P15" s="69"/>
      <c r="Q15" s="69"/>
      <c r="R15" s="69"/>
      <c r="S15" s="70" t="str">
        <f t="shared" si="3"/>
        <v>n/a</v>
      </c>
      <c r="T15" s="67"/>
      <c r="U15" s="67"/>
      <c r="V15" s="67"/>
      <c r="W15" s="68" t="str">
        <f t="shared" si="4"/>
        <v>n/a</v>
      </c>
      <c r="X15" s="69"/>
      <c r="Y15" s="69"/>
      <c r="Z15" s="69"/>
      <c r="AA15" s="70" t="str">
        <f t="shared" si="5"/>
        <v>n/a</v>
      </c>
      <c r="AB15" s="67"/>
      <c r="AC15" s="67"/>
      <c r="AD15" s="67"/>
      <c r="AE15" s="68" t="str">
        <f t="shared" si="6"/>
        <v>n/a</v>
      </c>
      <c r="AF15" s="69"/>
      <c r="AG15" s="69"/>
      <c r="AH15" s="69"/>
      <c r="AI15" s="70" t="str">
        <f t="shared" si="7"/>
        <v>n/a</v>
      </c>
      <c r="AJ15" s="67"/>
      <c r="AK15" s="67"/>
      <c r="AL15" s="67"/>
      <c r="AM15" s="68" t="str">
        <f t="shared" si="8"/>
        <v>n/a</v>
      </c>
      <c r="AN15" s="69"/>
      <c r="AO15" s="69"/>
      <c r="AP15" s="69"/>
      <c r="AQ15" s="70" t="str">
        <f t="shared" si="9"/>
        <v>n/a</v>
      </c>
      <c r="AR15" s="67"/>
      <c r="AS15" s="67"/>
      <c r="AT15" s="67"/>
      <c r="AU15" s="68" t="str">
        <f t="shared" si="10"/>
        <v>n/a</v>
      </c>
      <c r="AV15" s="69"/>
      <c r="AW15" s="69"/>
      <c r="AX15" s="69"/>
      <c r="AY15" s="70" t="str">
        <f t="shared" si="11"/>
        <v>n/a</v>
      </c>
      <c r="AZ15" s="67"/>
      <c r="BA15" s="67"/>
      <c r="BB15" s="67"/>
      <c r="BC15" s="68" t="str">
        <f t="shared" si="12"/>
        <v>n/a</v>
      </c>
      <c r="BD15" s="69"/>
      <c r="BE15" s="69"/>
      <c r="BF15" s="69"/>
      <c r="BG15" s="70" t="str">
        <f t="shared" si="13"/>
        <v>n/a</v>
      </c>
      <c r="BH15" s="67"/>
      <c r="BI15" s="67"/>
      <c r="BJ15" s="67"/>
      <c r="BK15" s="68" t="str">
        <f t="shared" si="14"/>
        <v>n/a</v>
      </c>
      <c r="BL15" s="69"/>
      <c r="BM15" s="69"/>
      <c r="BN15" s="69"/>
      <c r="BO15" s="70" t="str">
        <f t="shared" si="15"/>
        <v>n/a</v>
      </c>
      <c r="BP15" s="67"/>
      <c r="BQ15" s="67"/>
      <c r="BR15" s="67"/>
      <c r="BS15" s="68" t="str">
        <f t="shared" si="16"/>
        <v>n/a</v>
      </c>
      <c r="BT15" s="69"/>
      <c r="BU15" s="69"/>
      <c r="BV15" s="69"/>
      <c r="BW15" s="70" t="str">
        <f t="shared" si="17"/>
        <v>n/a</v>
      </c>
      <c r="BX15" s="67"/>
      <c r="BY15" s="67"/>
      <c r="BZ15" s="67"/>
      <c r="CA15" s="68" t="str">
        <f t="shared" si="18"/>
        <v>n/a</v>
      </c>
      <c r="CB15" s="69"/>
      <c r="CC15" s="69"/>
      <c r="CD15" s="69"/>
      <c r="CE15" s="70" t="str">
        <f t="shared" si="19"/>
        <v>n/a</v>
      </c>
      <c r="CF15" s="67"/>
      <c r="CG15" s="67"/>
      <c r="CH15" s="67"/>
      <c r="CI15" s="68" t="str">
        <f t="shared" si="20"/>
        <v>n/a</v>
      </c>
      <c r="CJ15" s="69"/>
      <c r="CK15" s="69"/>
      <c r="CL15" s="69"/>
      <c r="CM15" s="70" t="str">
        <f t="shared" si="21"/>
        <v>n/a</v>
      </c>
      <c r="CN15" s="67"/>
      <c r="CO15" s="67"/>
      <c r="CP15" s="67"/>
      <c r="CQ15" s="68" t="str">
        <f t="shared" si="22"/>
        <v>n/a</v>
      </c>
      <c r="CR15" s="69"/>
      <c r="CS15" s="69"/>
      <c r="CT15" s="69"/>
      <c r="CU15" s="70" t="str">
        <f t="shared" si="23"/>
        <v>n/a</v>
      </c>
      <c r="CV15" s="67"/>
      <c r="CW15" s="67"/>
      <c r="CX15" s="67"/>
      <c r="CY15" s="68" t="str">
        <f t="shared" si="24"/>
        <v>n/a</v>
      </c>
      <c r="CZ15" s="69"/>
      <c r="DA15" s="69"/>
      <c r="DB15" s="69"/>
      <c r="DC15" s="70" t="str">
        <f t="shared" si="25"/>
        <v>n/a</v>
      </c>
      <c r="DD15" s="67"/>
      <c r="DE15" s="67"/>
      <c r="DF15" s="67"/>
      <c r="DG15" s="68" t="str">
        <f t="shared" si="26"/>
        <v>n/a</v>
      </c>
      <c r="DH15" s="69"/>
      <c r="DI15" s="69"/>
      <c r="DJ15" s="69"/>
      <c r="DK15" s="70" t="str">
        <f t="shared" si="27"/>
        <v>n/a</v>
      </c>
      <c r="DL15" s="67"/>
      <c r="DM15" s="67"/>
      <c r="DN15" s="67"/>
      <c r="DO15" s="68" t="str">
        <f t="shared" si="28"/>
        <v>n/a</v>
      </c>
      <c r="DP15" s="69"/>
      <c r="DQ15" s="69"/>
      <c r="DR15" s="69"/>
      <c r="DS15" s="70" t="str">
        <f t="shared" si="29"/>
        <v>n/a</v>
      </c>
      <c r="DT15" s="66" t="str">
        <f t="shared" si="30"/>
        <v>n/a</v>
      </c>
      <c r="DU15" s="66" t="str">
        <f t="shared" si="31"/>
        <v>n/a</v>
      </c>
    </row>
    <row r="16" spans="1:125" s="40" customFormat="1" ht="31" customHeight="1" x14ac:dyDescent="0.25">
      <c r="A16" s="66"/>
      <c r="B16" s="66"/>
      <c r="C16" s="66"/>
      <c r="D16" s="67"/>
      <c r="E16" s="67"/>
      <c r="F16" s="67"/>
      <c r="G16" s="68" t="str">
        <f t="shared" si="0"/>
        <v>n/a</v>
      </c>
      <c r="H16" s="69"/>
      <c r="I16" s="69"/>
      <c r="J16" s="69"/>
      <c r="K16" s="70" t="str">
        <f t="shared" si="1"/>
        <v>n/a</v>
      </c>
      <c r="L16" s="67"/>
      <c r="M16" s="67"/>
      <c r="N16" s="67"/>
      <c r="O16" s="68" t="str">
        <f t="shared" si="2"/>
        <v>n/a</v>
      </c>
      <c r="P16" s="69"/>
      <c r="Q16" s="69"/>
      <c r="R16" s="69"/>
      <c r="S16" s="70" t="str">
        <f t="shared" si="3"/>
        <v>n/a</v>
      </c>
      <c r="T16" s="67"/>
      <c r="U16" s="67"/>
      <c r="V16" s="67"/>
      <c r="W16" s="68" t="str">
        <f t="shared" si="4"/>
        <v>n/a</v>
      </c>
      <c r="X16" s="69"/>
      <c r="Y16" s="69"/>
      <c r="Z16" s="69"/>
      <c r="AA16" s="70" t="str">
        <f t="shared" si="5"/>
        <v>n/a</v>
      </c>
      <c r="AB16" s="67"/>
      <c r="AC16" s="67"/>
      <c r="AD16" s="67"/>
      <c r="AE16" s="68" t="str">
        <f t="shared" si="6"/>
        <v>n/a</v>
      </c>
      <c r="AF16" s="69"/>
      <c r="AG16" s="69"/>
      <c r="AH16" s="69"/>
      <c r="AI16" s="70" t="str">
        <f t="shared" si="7"/>
        <v>n/a</v>
      </c>
      <c r="AJ16" s="67"/>
      <c r="AK16" s="67"/>
      <c r="AL16" s="67"/>
      <c r="AM16" s="68" t="str">
        <f t="shared" si="8"/>
        <v>n/a</v>
      </c>
      <c r="AN16" s="69"/>
      <c r="AO16" s="69"/>
      <c r="AP16" s="69"/>
      <c r="AQ16" s="70" t="str">
        <f t="shared" si="9"/>
        <v>n/a</v>
      </c>
      <c r="AR16" s="67"/>
      <c r="AS16" s="67"/>
      <c r="AT16" s="67"/>
      <c r="AU16" s="68" t="str">
        <f t="shared" si="10"/>
        <v>n/a</v>
      </c>
      <c r="AV16" s="69"/>
      <c r="AW16" s="69"/>
      <c r="AX16" s="69"/>
      <c r="AY16" s="70" t="str">
        <f t="shared" si="11"/>
        <v>n/a</v>
      </c>
      <c r="AZ16" s="67"/>
      <c r="BA16" s="67"/>
      <c r="BB16" s="67"/>
      <c r="BC16" s="68" t="str">
        <f t="shared" si="12"/>
        <v>n/a</v>
      </c>
      <c r="BD16" s="69"/>
      <c r="BE16" s="69"/>
      <c r="BF16" s="69"/>
      <c r="BG16" s="70" t="str">
        <f t="shared" si="13"/>
        <v>n/a</v>
      </c>
      <c r="BH16" s="67"/>
      <c r="BI16" s="67"/>
      <c r="BJ16" s="67"/>
      <c r="BK16" s="68" t="str">
        <f t="shared" si="14"/>
        <v>n/a</v>
      </c>
      <c r="BL16" s="69"/>
      <c r="BM16" s="69"/>
      <c r="BN16" s="69"/>
      <c r="BO16" s="70" t="str">
        <f t="shared" si="15"/>
        <v>n/a</v>
      </c>
      <c r="BP16" s="67"/>
      <c r="BQ16" s="67"/>
      <c r="BR16" s="67"/>
      <c r="BS16" s="68" t="str">
        <f t="shared" si="16"/>
        <v>n/a</v>
      </c>
      <c r="BT16" s="69"/>
      <c r="BU16" s="69"/>
      <c r="BV16" s="69"/>
      <c r="BW16" s="70" t="str">
        <f t="shared" si="17"/>
        <v>n/a</v>
      </c>
      <c r="BX16" s="67"/>
      <c r="BY16" s="67"/>
      <c r="BZ16" s="67"/>
      <c r="CA16" s="68" t="str">
        <f t="shared" si="18"/>
        <v>n/a</v>
      </c>
      <c r="CB16" s="69"/>
      <c r="CC16" s="69"/>
      <c r="CD16" s="69"/>
      <c r="CE16" s="70" t="str">
        <f t="shared" si="19"/>
        <v>n/a</v>
      </c>
      <c r="CF16" s="67"/>
      <c r="CG16" s="67"/>
      <c r="CH16" s="67"/>
      <c r="CI16" s="68" t="str">
        <f t="shared" si="20"/>
        <v>n/a</v>
      </c>
      <c r="CJ16" s="69"/>
      <c r="CK16" s="69"/>
      <c r="CL16" s="69"/>
      <c r="CM16" s="70" t="str">
        <f t="shared" si="21"/>
        <v>n/a</v>
      </c>
      <c r="CN16" s="67"/>
      <c r="CO16" s="67"/>
      <c r="CP16" s="67"/>
      <c r="CQ16" s="68" t="str">
        <f t="shared" si="22"/>
        <v>n/a</v>
      </c>
      <c r="CR16" s="69"/>
      <c r="CS16" s="69"/>
      <c r="CT16" s="69"/>
      <c r="CU16" s="70" t="str">
        <f t="shared" si="23"/>
        <v>n/a</v>
      </c>
      <c r="CV16" s="67"/>
      <c r="CW16" s="67"/>
      <c r="CX16" s="67"/>
      <c r="CY16" s="68" t="str">
        <f t="shared" si="24"/>
        <v>n/a</v>
      </c>
      <c r="CZ16" s="69"/>
      <c r="DA16" s="69"/>
      <c r="DB16" s="69"/>
      <c r="DC16" s="70" t="str">
        <f t="shared" si="25"/>
        <v>n/a</v>
      </c>
      <c r="DD16" s="67"/>
      <c r="DE16" s="67"/>
      <c r="DF16" s="67"/>
      <c r="DG16" s="68" t="str">
        <f t="shared" si="26"/>
        <v>n/a</v>
      </c>
      <c r="DH16" s="69"/>
      <c r="DI16" s="69"/>
      <c r="DJ16" s="69"/>
      <c r="DK16" s="70" t="str">
        <f t="shared" si="27"/>
        <v>n/a</v>
      </c>
      <c r="DL16" s="67"/>
      <c r="DM16" s="67"/>
      <c r="DN16" s="67"/>
      <c r="DO16" s="68" t="str">
        <f t="shared" si="28"/>
        <v>n/a</v>
      </c>
      <c r="DP16" s="69"/>
      <c r="DQ16" s="69"/>
      <c r="DR16" s="69"/>
      <c r="DS16" s="70" t="str">
        <f t="shared" si="29"/>
        <v>n/a</v>
      </c>
      <c r="DT16" s="66" t="str">
        <f t="shared" si="30"/>
        <v>n/a</v>
      </c>
      <c r="DU16" s="66" t="str">
        <f t="shared" si="31"/>
        <v>n/a</v>
      </c>
    </row>
    <row r="17" spans="1:125" s="40" customFormat="1" ht="31" customHeight="1" x14ac:dyDescent="0.25">
      <c r="A17" s="66"/>
      <c r="B17" s="66"/>
      <c r="C17" s="66"/>
      <c r="D17" s="67"/>
      <c r="E17" s="67"/>
      <c r="F17" s="67"/>
      <c r="G17" s="68" t="str">
        <f t="shared" si="0"/>
        <v>n/a</v>
      </c>
      <c r="H17" s="69"/>
      <c r="I17" s="69"/>
      <c r="J17" s="69"/>
      <c r="K17" s="70" t="str">
        <f t="shared" si="1"/>
        <v>n/a</v>
      </c>
      <c r="L17" s="67"/>
      <c r="M17" s="67"/>
      <c r="N17" s="67"/>
      <c r="O17" s="68" t="str">
        <f t="shared" si="2"/>
        <v>n/a</v>
      </c>
      <c r="P17" s="69"/>
      <c r="Q17" s="69"/>
      <c r="R17" s="69"/>
      <c r="S17" s="70" t="str">
        <f t="shared" si="3"/>
        <v>n/a</v>
      </c>
      <c r="T17" s="67"/>
      <c r="U17" s="67"/>
      <c r="V17" s="67"/>
      <c r="W17" s="68" t="str">
        <f t="shared" si="4"/>
        <v>n/a</v>
      </c>
      <c r="X17" s="69"/>
      <c r="Y17" s="69"/>
      <c r="Z17" s="69"/>
      <c r="AA17" s="70" t="str">
        <f t="shared" si="5"/>
        <v>n/a</v>
      </c>
      <c r="AB17" s="67"/>
      <c r="AC17" s="67"/>
      <c r="AD17" s="67"/>
      <c r="AE17" s="68" t="str">
        <f t="shared" si="6"/>
        <v>n/a</v>
      </c>
      <c r="AF17" s="69"/>
      <c r="AG17" s="69"/>
      <c r="AH17" s="69"/>
      <c r="AI17" s="70" t="str">
        <f t="shared" si="7"/>
        <v>n/a</v>
      </c>
      <c r="AJ17" s="67"/>
      <c r="AK17" s="67"/>
      <c r="AL17" s="67"/>
      <c r="AM17" s="68" t="str">
        <f t="shared" si="8"/>
        <v>n/a</v>
      </c>
      <c r="AN17" s="69"/>
      <c r="AO17" s="69"/>
      <c r="AP17" s="69"/>
      <c r="AQ17" s="70" t="str">
        <f t="shared" si="9"/>
        <v>n/a</v>
      </c>
      <c r="AR17" s="67"/>
      <c r="AS17" s="67"/>
      <c r="AT17" s="67"/>
      <c r="AU17" s="68" t="str">
        <f t="shared" si="10"/>
        <v>n/a</v>
      </c>
      <c r="AV17" s="69"/>
      <c r="AW17" s="69"/>
      <c r="AX17" s="69"/>
      <c r="AY17" s="70" t="str">
        <f t="shared" si="11"/>
        <v>n/a</v>
      </c>
      <c r="AZ17" s="67"/>
      <c r="BA17" s="67"/>
      <c r="BB17" s="67"/>
      <c r="BC17" s="68" t="str">
        <f t="shared" si="12"/>
        <v>n/a</v>
      </c>
      <c r="BD17" s="69"/>
      <c r="BE17" s="69"/>
      <c r="BF17" s="69"/>
      <c r="BG17" s="70" t="str">
        <f t="shared" si="13"/>
        <v>n/a</v>
      </c>
      <c r="BH17" s="67"/>
      <c r="BI17" s="67"/>
      <c r="BJ17" s="67"/>
      <c r="BK17" s="68" t="str">
        <f t="shared" si="14"/>
        <v>n/a</v>
      </c>
      <c r="BL17" s="69"/>
      <c r="BM17" s="69"/>
      <c r="BN17" s="69"/>
      <c r="BO17" s="70" t="str">
        <f t="shared" si="15"/>
        <v>n/a</v>
      </c>
      <c r="BP17" s="67"/>
      <c r="BQ17" s="67"/>
      <c r="BR17" s="67"/>
      <c r="BS17" s="68" t="str">
        <f t="shared" si="16"/>
        <v>n/a</v>
      </c>
      <c r="BT17" s="69"/>
      <c r="BU17" s="69"/>
      <c r="BV17" s="69"/>
      <c r="BW17" s="70" t="str">
        <f t="shared" si="17"/>
        <v>n/a</v>
      </c>
      <c r="BX17" s="67"/>
      <c r="BY17" s="67"/>
      <c r="BZ17" s="67"/>
      <c r="CA17" s="68" t="str">
        <f t="shared" si="18"/>
        <v>n/a</v>
      </c>
      <c r="CB17" s="69"/>
      <c r="CC17" s="69"/>
      <c r="CD17" s="69"/>
      <c r="CE17" s="70" t="str">
        <f t="shared" si="19"/>
        <v>n/a</v>
      </c>
      <c r="CF17" s="67"/>
      <c r="CG17" s="67"/>
      <c r="CH17" s="67"/>
      <c r="CI17" s="68" t="str">
        <f t="shared" si="20"/>
        <v>n/a</v>
      </c>
      <c r="CJ17" s="69"/>
      <c r="CK17" s="69"/>
      <c r="CL17" s="69"/>
      <c r="CM17" s="70" t="str">
        <f t="shared" si="21"/>
        <v>n/a</v>
      </c>
      <c r="CN17" s="67"/>
      <c r="CO17" s="67"/>
      <c r="CP17" s="67"/>
      <c r="CQ17" s="68" t="str">
        <f t="shared" si="22"/>
        <v>n/a</v>
      </c>
      <c r="CR17" s="69"/>
      <c r="CS17" s="69"/>
      <c r="CT17" s="69"/>
      <c r="CU17" s="70" t="str">
        <f t="shared" si="23"/>
        <v>n/a</v>
      </c>
      <c r="CV17" s="67"/>
      <c r="CW17" s="67"/>
      <c r="CX17" s="67"/>
      <c r="CY17" s="68" t="str">
        <f t="shared" si="24"/>
        <v>n/a</v>
      </c>
      <c r="CZ17" s="69"/>
      <c r="DA17" s="69"/>
      <c r="DB17" s="69"/>
      <c r="DC17" s="70" t="str">
        <f t="shared" si="25"/>
        <v>n/a</v>
      </c>
      <c r="DD17" s="67"/>
      <c r="DE17" s="67"/>
      <c r="DF17" s="67"/>
      <c r="DG17" s="68" t="str">
        <f t="shared" si="26"/>
        <v>n/a</v>
      </c>
      <c r="DH17" s="69"/>
      <c r="DI17" s="69"/>
      <c r="DJ17" s="69"/>
      <c r="DK17" s="70" t="str">
        <f t="shared" si="27"/>
        <v>n/a</v>
      </c>
      <c r="DL17" s="67"/>
      <c r="DM17" s="67"/>
      <c r="DN17" s="67"/>
      <c r="DO17" s="68" t="str">
        <f t="shared" si="28"/>
        <v>n/a</v>
      </c>
      <c r="DP17" s="69"/>
      <c r="DQ17" s="69"/>
      <c r="DR17" s="69"/>
      <c r="DS17" s="70" t="str">
        <f t="shared" si="29"/>
        <v>n/a</v>
      </c>
      <c r="DT17" s="66" t="str">
        <f t="shared" si="30"/>
        <v>n/a</v>
      </c>
      <c r="DU17" s="66" t="str">
        <f t="shared" si="31"/>
        <v>n/a</v>
      </c>
    </row>
    <row r="18" spans="1:125" s="40" customFormat="1" ht="31" customHeight="1" x14ac:dyDescent="0.25">
      <c r="A18" s="66"/>
      <c r="B18" s="66"/>
      <c r="C18" s="66"/>
      <c r="D18" s="67"/>
      <c r="E18" s="67"/>
      <c r="F18" s="67"/>
      <c r="G18" s="68" t="str">
        <f t="shared" si="0"/>
        <v>n/a</v>
      </c>
      <c r="H18" s="69"/>
      <c r="I18" s="69"/>
      <c r="J18" s="69"/>
      <c r="K18" s="70" t="str">
        <f t="shared" si="1"/>
        <v>n/a</v>
      </c>
      <c r="L18" s="67"/>
      <c r="M18" s="67"/>
      <c r="N18" s="67"/>
      <c r="O18" s="68" t="str">
        <f t="shared" si="2"/>
        <v>n/a</v>
      </c>
      <c r="P18" s="69"/>
      <c r="Q18" s="69"/>
      <c r="R18" s="69"/>
      <c r="S18" s="70" t="str">
        <f t="shared" si="3"/>
        <v>n/a</v>
      </c>
      <c r="T18" s="67"/>
      <c r="U18" s="67"/>
      <c r="V18" s="67"/>
      <c r="W18" s="68" t="str">
        <f t="shared" si="4"/>
        <v>n/a</v>
      </c>
      <c r="X18" s="69"/>
      <c r="Y18" s="69"/>
      <c r="Z18" s="69"/>
      <c r="AA18" s="70" t="str">
        <f t="shared" si="5"/>
        <v>n/a</v>
      </c>
      <c r="AB18" s="67"/>
      <c r="AC18" s="67"/>
      <c r="AD18" s="67"/>
      <c r="AE18" s="68" t="str">
        <f t="shared" si="6"/>
        <v>n/a</v>
      </c>
      <c r="AF18" s="69"/>
      <c r="AG18" s="69"/>
      <c r="AH18" s="69"/>
      <c r="AI18" s="70" t="str">
        <f t="shared" si="7"/>
        <v>n/a</v>
      </c>
      <c r="AJ18" s="67"/>
      <c r="AK18" s="67"/>
      <c r="AL18" s="67"/>
      <c r="AM18" s="68" t="str">
        <f t="shared" si="8"/>
        <v>n/a</v>
      </c>
      <c r="AN18" s="69"/>
      <c r="AO18" s="69"/>
      <c r="AP18" s="69"/>
      <c r="AQ18" s="70" t="str">
        <f t="shared" si="9"/>
        <v>n/a</v>
      </c>
      <c r="AR18" s="67"/>
      <c r="AS18" s="67"/>
      <c r="AT18" s="67"/>
      <c r="AU18" s="68" t="str">
        <f t="shared" si="10"/>
        <v>n/a</v>
      </c>
      <c r="AV18" s="69"/>
      <c r="AW18" s="69"/>
      <c r="AX18" s="69"/>
      <c r="AY18" s="70" t="str">
        <f t="shared" si="11"/>
        <v>n/a</v>
      </c>
      <c r="AZ18" s="67"/>
      <c r="BA18" s="67"/>
      <c r="BB18" s="67"/>
      <c r="BC18" s="68" t="str">
        <f t="shared" si="12"/>
        <v>n/a</v>
      </c>
      <c r="BD18" s="69"/>
      <c r="BE18" s="69"/>
      <c r="BF18" s="69"/>
      <c r="BG18" s="70" t="str">
        <f t="shared" si="13"/>
        <v>n/a</v>
      </c>
      <c r="BH18" s="67"/>
      <c r="BI18" s="67"/>
      <c r="BJ18" s="67"/>
      <c r="BK18" s="68" t="str">
        <f t="shared" si="14"/>
        <v>n/a</v>
      </c>
      <c r="BL18" s="69"/>
      <c r="BM18" s="69"/>
      <c r="BN18" s="69"/>
      <c r="BO18" s="70" t="str">
        <f t="shared" si="15"/>
        <v>n/a</v>
      </c>
      <c r="BP18" s="67"/>
      <c r="BQ18" s="67"/>
      <c r="BR18" s="67"/>
      <c r="BS18" s="68" t="str">
        <f t="shared" si="16"/>
        <v>n/a</v>
      </c>
      <c r="BT18" s="69"/>
      <c r="BU18" s="69"/>
      <c r="BV18" s="69"/>
      <c r="BW18" s="70" t="str">
        <f t="shared" si="17"/>
        <v>n/a</v>
      </c>
      <c r="BX18" s="67"/>
      <c r="BY18" s="67"/>
      <c r="BZ18" s="67"/>
      <c r="CA18" s="68" t="str">
        <f t="shared" si="18"/>
        <v>n/a</v>
      </c>
      <c r="CB18" s="69"/>
      <c r="CC18" s="69"/>
      <c r="CD18" s="69"/>
      <c r="CE18" s="70" t="str">
        <f t="shared" si="19"/>
        <v>n/a</v>
      </c>
      <c r="CF18" s="67"/>
      <c r="CG18" s="67"/>
      <c r="CH18" s="67"/>
      <c r="CI18" s="68" t="str">
        <f t="shared" si="20"/>
        <v>n/a</v>
      </c>
      <c r="CJ18" s="69"/>
      <c r="CK18" s="69"/>
      <c r="CL18" s="69"/>
      <c r="CM18" s="70" t="str">
        <f t="shared" si="21"/>
        <v>n/a</v>
      </c>
      <c r="CN18" s="67"/>
      <c r="CO18" s="67"/>
      <c r="CP18" s="67"/>
      <c r="CQ18" s="68" t="str">
        <f t="shared" si="22"/>
        <v>n/a</v>
      </c>
      <c r="CR18" s="69"/>
      <c r="CS18" s="69"/>
      <c r="CT18" s="69"/>
      <c r="CU18" s="70" t="str">
        <f t="shared" si="23"/>
        <v>n/a</v>
      </c>
      <c r="CV18" s="67"/>
      <c r="CW18" s="67"/>
      <c r="CX18" s="67"/>
      <c r="CY18" s="68" t="str">
        <f t="shared" si="24"/>
        <v>n/a</v>
      </c>
      <c r="CZ18" s="69"/>
      <c r="DA18" s="69"/>
      <c r="DB18" s="69"/>
      <c r="DC18" s="70" t="str">
        <f t="shared" si="25"/>
        <v>n/a</v>
      </c>
      <c r="DD18" s="67"/>
      <c r="DE18" s="67"/>
      <c r="DF18" s="67"/>
      <c r="DG18" s="68" t="str">
        <f t="shared" si="26"/>
        <v>n/a</v>
      </c>
      <c r="DH18" s="69"/>
      <c r="DI18" s="69"/>
      <c r="DJ18" s="69"/>
      <c r="DK18" s="70" t="str">
        <f t="shared" si="27"/>
        <v>n/a</v>
      </c>
      <c r="DL18" s="67"/>
      <c r="DM18" s="67"/>
      <c r="DN18" s="67"/>
      <c r="DO18" s="68" t="str">
        <f t="shared" si="28"/>
        <v>n/a</v>
      </c>
      <c r="DP18" s="69"/>
      <c r="DQ18" s="69"/>
      <c r="DR18" s="69"/>
      <c r="DS18" s="70" t="str">
        <f t="shared" si="29"/>
        <v>n/a</v>
      </c>
      <c r="DT18" s="66" t="str">
        <f t="shared" si="30"/>
        <v>n/a</v>
      </c>
      <c r="DU18" s="66" t="str">
        <f t="shared" si="31"/>
        <v>n/a</v>
      </c>
    </row>
    <row r="19" spans="1:125" s="40" customFormat="1" ht="31" customHeight="1" x14ac:dyDescent="0.25">
      <c r="A19" s="66"/>
      <c r="B19" s="66"/>
      <c r="C19" s="66"/>
      <c r="D19" s="67"/>
      <c r="E19" s="67"/>
      <c r="F19" s="67"/>
      <c r="G19" s="68" t="str">
        <f t="shared" si="0"/>
        <v>n/a</v>
      </c>
      <c r="H19" s="69"/>
      <c r="I19" s="69"/>
      <c r="J19" s="69"/>
      <c r="K19" s="70" t="str">
        <f t="shared" si="1"/>
        <v>n/a</v>
      </c>
      <c r="L19" s="67"/>
      <c r="M19" s="67"/>
      <c r="N19" s="67"/>
      <c r="O19" s="68" t="str">
        <f t="shared" si="2"/>
        <v>n/a</v>
      </c>
      <c r="P19" s="69"/>
      <c r="Q19" s="69"/>
      <c r="R19" s="69"/>
      <c r="S19" s="70" t="str">
        <f t="shared" si="3"/>
        <v>n/a</v>
      </c>
      <c r="T19" s="67"/>
      <c r="U19" s="67"/>
      <c r="V19" s="67"/>
      <c r="W19" s="68" t="str">
        <f t="shared" si="4"/>
        <v>n/a</v>
      </c>
      <c r="X19" s="69"/>
      <c r="Y19" s="69"/>
      <c r="Z19" s="69"/>
      <c r="AA19" s="70" t="str">
        <f t="shared" si="5"/>
        <v>n/a</v>
      </c>
      <c r="AB19" s="67"/>
      <c r="AC19" s="67"/>
      <c r="AD19" s="67"/>
      <c r="AE19" s="68" t="str">
        <f t="shared" si="6"/>
        <v>n/a</v>
      </c>
      <c r="AF19" s="69"/>
      <c r="AG19" s="69"/>
      <c r="AH19" s="69"/>
      <c r="AI19" s="70" t="str">
        <f t="shared" si="7"/>
        <v>n/a</v>
      </c>
      <c r="AJ19" s="67"/>
      <c r="AK19" s="67"/>
      <c r="AL19" s="67"/>
      <c r="AM19" s="68" t="str">
        <f t="shared" si="8"/>
        <v>n/a</v>
      </c>
      <c r="AN19" s="69"/>
      <c r="AO19" s="69"/>
      <c r="AP19" s="69"/>
      <c r="AQ19" s="70" t="str">
        <f t="shared" si="9"/>
        <v>n/a</v>
      </c>
      <c r="AR19" s="67"/>
      <c r="AS19" s="67"/>
      <c r="AT19" s="67"/>
      <c r="AU19" s="68" t="str">
        <f t="shared" si="10"/>
        <v>n/a</v>
      </c>
      <c r="AV19" s="69"/>
      <c r="AW19" s="69"/>
      <c r="AX19" s="69"/>
      <c r="AY19" s="70" t="str">
        <f t="shared" si="11"/>
        <v>n/a</v>
      </c>
      <c r="AZ19" s="67"/>
      <c r="BA19" s="67"/>
      <c r="BB19" s="67"/>
      <c r="BC19" s="68" t="str">
        <f t="shared" si="12"/>
        <v>n/a</v>
      </c>
      <c r="BD19" s="69"/>
      <c r="BE19" s="69"/>
      <c r="BF19" s="69"/>
      <c r="BG19" s="70" t="str">
        <f t="shared" si="13"/>
        <v>n/a</v>
      </c>
      <c r="BH19" s="67"/>
      <c r="BI19" s="67"/>
      <c r="BJ19" s="67"/>
      <c r="BK19" s="68" t="str">
        <f t="shared" si="14"/>
        <v>n/a</v>
      </c>
      <c r="BL19" s="69"/>
      <c r="BM19" s="69"/>
      <c r="BN19" s="69"/>
      <c r="BO19" s="70" t="str">
        <f t="shared" si="15"/>
        <v>n/a</v>
      </c>
      <c r="BP19" s="67"/>
      <c r="BQ19" s="67"/>
      <c r="BR19" s="67"/>
      <c r="BS19" s="68" t="str">
        <f t="shared" si="16"/>
        <v>n/a</v>
      </c>
      <c r="BT19" s="69"/>
      <c r="BU19" s="69"/>
      <c r="BV19" s="69"/>
      <c r="BW19" s="70" t="str">
        <f t="shared" si="17"/>
        <v>n/a</v>
      </c>
      <c r="BX19" s="67"/>
      <c r="BY19" s="67"/>
      <c r="BZ19" s="67"/>
      <c r="CA19" s="68" t="str">
        <f t="shared" si="18"/>
        <v>n/a</v>
      </c>
      <c r="CB19" s="69"/>
      <c r="CC19" s="69"/>
      <c r="CD19" s="69"/>
      <c r="CE19" s="70" t="str">
        <f t="shared" si="19"/>
        <v>n/a</v>
      </c>
      <c r="CF19" s="67"/>
      <c r="CG19" s="67"/>
      <c r="CH19" s="67"/>
      <c r="CI19" s="68" t="str">
        <f t="shared" si="20"/>
        <v>n/a</v>
      </c>
      <c r="CJ19" s="69"/>
      <c r="CK19" s="69"/>
      <c r="CL19" s="69"/>
      <c r="CM19" s="70" t="str">
        <f t="shared" si="21"/>
        <v>n/a</v>
      </c>
      <c r="CN19" s="67"/>
      <c r="CO19" s="67"/>
      <c r="CP19" s="67"/>
      <c r="CQ19" s="68" t="str">
        <f t="shared" si="22"/>
        <v>n/a</v>
      </c>
      <c r="CR19" s="69"/>
      <c r="CS19" s="69"/>
      <c r="CT19" s="69"/>
      <c r="CU19" s="70" t="str">
        <f t="shared" si="23"/>
        <v>n/a</v>
      </c>
      <c r="CV19" s="67"/>
      <c r="CW19" s="67"/>
      <c r="CX19" s="67"/>
      <c r="CY19" s="68" t="str">
        <f t="shared" si="24"/>
        <v>n/a</v>
      </c>
      <c r="CZ19" s="69"/>
      <c r="DA19" s="69"/>
      <c r="DB19" s="69"/>
      <c r="DC19" s="70" t="str">
        <f t="shared" si="25"/>
        <v>n/a</v>
      </c>
      <c r="DD19" s="67"/>
      <c r="DE19" s="67"/>
      <c r="DF19" s="67"/>
      <c r="DG19" s="68" t="str">
        <f t="shared" si="26"/>
        <v>n/a</v>
      </c>
      <c r="DH19" s="69"/>
      <c r="DI19" s="69"/>
      <c r="DJ19" s="69"/>
      <c r="DK19" s="70" t="str">
        <f t="shared" si="27"/>
        <v>n/a</v>
      </c>
      <c r="DL19" s="67"/>
      <c r="DM19" s="67"/>
      <c r="DN19" s="67"/>
      <c r="DO19" s="68" t="str">
        <f t="shared" si="28"/>
        <v>n/a</v>
      </c>
      <c r="DP19" s="69"/>
      <c r="DQ19" s="69"/>
      <c r="DR19" s="69"/>
      <c r="DS19" s="70" t="str">
        <f t="shared" si="29"/>
        <v>n/a</v>
      </c>
      <c r="DT19" s="66" t="str">
        <f t="shared" si="30"/>
        <v>n/a</v>
      </c>
      <c r="DU19" s="66" t="str">
        <f t="shared" si="31"/>
        <v>n/a</v>
      </c>
    </row>
    <row r="20" spans="1:125" s="40" customFormat="1" ht="31" customHeight="1" x14ac:dyDescent="0.25">
      <c r="A20" s="66"/>
      <c r="B20" s="66"/>
      <c r="C20" s="66"/>
      <c r="D20" s="67"/>
      <c r="E20" s="67"/>
      <c r="F20" s="67"/>
      <c r="G20" s="68" t="str">
        <f t="shared" si="0"/>
        <v>n/a</v>
      </c>
      <c r="H20" s="69"/>
      <c r="I20" s="69"/>
      <c r="J20" s="69"/>
      <c r="K20" s="70" t="str">
        <f t="shared" si="1"/>
        <v>n/a</v>
      </c>
      <c r="L20" s="67"/>
      <c r="M20" s="67"/>
      <c r="N20" s="67"/>
      <c r="O20" s="68" t="str">
        <f t="shared" si="2"/>
        <v>n/a</v>
      </c>
      <c r="P20" s="69"/>
      <c r="Q20" s="69"/>
      <c r="R20" s="69"/>
      <c r="S20" s="70" t="str">
        <f t="shared" si="3"/>
        <v>n/a</v>
      </c>
      <c r="T20" s="67"/>
      <c r="U20" s="67"/>
      <c r="V20" s="67"/>
      <c r="W20" s="68" t="str">
        <f t="shared" si="4"/>
        <v>n/a</v>
      </c>
      <c r="X20" s="69"/>
      <c r="Y20" s="69"/>
      <c r="Z20" s="69"/>
      <c r="AA20" s="70" t="str">
        <f t="shared" si="5"/>
        <v>n/a</v>
      </c>
      <c r="AB20" s="67"/>
      <c r="AC20" s="67"/>
      <c r="AD20" s="67"/>
      <c r="AE20" s="68" t="str">
        <f t="shared" si="6"/>
        <v>n/a</v>
      </c>
      <c r="AF20" s="69"/>
      <c r="AG20" s="69"/>
      <c r="AH20" s="69"/>
      <c r="AI20" s="70" t="str">
        <f t="shared" si="7"/>
        <v>n/a</v>
      </c>
      <c r="AJ20" s="67"/>
      <c r="AK20" s="67"/>
      <c r="AL20" s="67"/>
      <c r="AM20" s="68" t="str">
        <f t="shared" si="8"/>
        <v>n/a</v>
      </c>
      <c r="AN20" s="69"/>
      <c r="AO20" s="69"/>
      <c r="AP20" s="69"/>
      <c r="AQ20" s="70" t="str">
        <f t="shared" si="9"/>
        <v>n/a</v>
      </c>
      <c r="AR20" s="67"/>
      <c r="AS20" s="67"/>
      <c r="AT20" s="67"/>
      <c r="AU20" s="68" t="str">
        <f t="shared" si="10"/>
        <v>n/a</v>
      </c>
      <c r="AV20" s="69"/>
      <c r="AW20" s="69"/>
      <c r="AX20" s="69"/>
      <c r="AY20" s="70" t="str">
        <f t="shared" si="11"/>
        <v>n/a</v>
      </c>
      <c r="AZ20" s="67"/>
      <c r="BA20" s="67"/>
      <c r="BB20" s="67"/>
      <c r="BC20" s="68" t="str">
        <f t="shared" si="12"/>
        <v>n/a</v>
      </c>
      <c r="BD20" s="69"/>
      <c r="BE20" s="69"/>
      <c r="BF20" s="69"/>
      <c r="BG20" s="70" t="str">
        <f t="shared" si="13"/>
        <v>n/a</v>
      </c>
      <c r="BH20" s="67"/>
      <c r="BI20" s="67"/>
      <c r="BJ20" s="67"/>
      <c r="BK20" s="68" t="str">
        <f t="shared" si="14"/>
        <v>n/a</v>
      </c>
      <c r="BL20" s="69"/>
      <c r="BM20" s="69"/>
      <c r="BN20" s="69"/>
      <c r="BO20" s="70" t="str">
        <f t="shared" si="15"/>
        <v>n/a</v>
      </c>
      <c r="BP20" s="67"/>
      <c r="BQ20" s="67"/>
      <c r="BR20" s="67"/>
      <c r="BS20" s="68" t="str">
        <f t="shared" si="16"/>
        <v>n/a</v>
      </c>
      <c r="BT20" s="69"/>
      <c r="BU20" s="69"/>
      <c r="BV20" s="69"/>
      <c r="BW20" s="70" t="str">
        <f t="shared" si="17"/>
        <v>n/a</v>
      </c>
      <c r="BX20" s="67"/>
      <c r="BY20" s="67"/>
      <c r="BZ20" s="67"/>
      <c r="CA20" s="68" t="str">
        <f t="shared" si="18"/>
        <v>n/a</v>
      </c>
      <c r="CB20" s="69"/>
      <c r="CC20" s="69"/>
      <c r="CD20" s="69"/>
      <c r="CE20" s="70" t="str">
        <f t="shared" si="19"/>
        <v>n/a</v>
      </c>
      <c r="CF20" s="67"/>
      <c r="CG20" s="67"/>
      <c r="CH20" s="67"/>
      <c r="CI20" s="68" t="str">
        <f t="shared" si="20"/>
        <v>n/a</v>
      </c>
      <c r="CJ20" s="69"/>
      <c r="CK20" s="69"/>
      <c r="CL20" s="69"/>
      <c r="CM20" s="70" t="str">
        <f t="shared" si="21"/>
        <v>n/a</v>
      </c>
      <c r="CN20" s="67"/>
      <c r="CO20" s="67"/>
      <c r="CP20" s="67"/>
      <c r="CQ20" s="68" t="str">
        <f t="shared" si="22"/>
        <v>n/a</v>
      </c>
      <c r="CR20" s="69"/>
      <c r="CS20" s="69"/>
      <c r="CT20" s="69"/>
      <c r="CU20" s="70" t="str">
        <f t="shared" si="23"/>
        <v>n/a</v>
      </c>
      <c r="CV20" s="67"/>
      <c r="CW20" s="67"/>
      <c r="CX20" s="67"/>
      <c r="CY20" s="68" t="str">
        <f t="shared" si="24"/>
        <v>n/a</v>
      </c>
      <c r="CZ20" s="69"/>
      <c r="DA20" s="69"/>
      <c r="DB20" s="69"/>
      <c r="DC20" s="70" t="str">
        <f t="shared" si="25"/>
        <v>n/a</v>
      </c>
      <c r="DD20" s="67"/>
      <c r="DE20" s="67"/>
      <c r="DF20" s="67"/>
      <c r="DG20" s="68" t="str">
        <f t="shared" si="26"/>
        <v>n/a</v>
      </c>
      <c r="DH20" s="69"/>
      <c r="DI20" s="69"/>
      <c r="DJ20" s="69"/>
      <c r="DK20" s="70" t="str">
        <f t="shared" si="27"/>
        <v>n/a</v>
      </c>
      <c r="DL20" s="67"/>
      <c r="DM20" s="67"/>
      <c r="DN20" s="67"/>
      <c r="DO20" s="68" t="str">
        <f t="shared" si="28"/>
        <v>n/a</v>
      </c>
      <c r="DP20" s="69"/>
      <c r="DQ20" s="69"/>
      <c r="DR20" s="69"/>
      <c r="DS20" s="70" t="str">
        <f t="shared" si="29"/>
        <v>n/a</v>
      </c>
      <c r="DT20" s="66" t="str">
        <f t="shared" si="30"/>
        <v>n/a</v>
      </c>
      <c r="DU20" s="66" t="str">
        <f t="shared" si="31"/>
        <v>n/a</v>
      </c>
    </row>
    <row r="21" spans="1:125" s="40" customFormat="1" ht="31" customHeight="1" x14ac:dyDescent="0.25">
      <c r="A21" s="66"/>
      <c r="B21" s="66"/>
      <c r="C21" s="66"/>
      <c r="D21" s="67"/>
      <c r="E21" s="67"/>
      <c r="F21" s="67"/>
      <c r="G21" s="68" t="str">
        <f t="shared" si="0"/>
        <v>n/a</v>
      </c>
      <c r="H21" s="69"/>
      <c r="I21" s="69"/>
      <c r="J21" s="69"/>
      <c r="K21" s="70" t="str">
        <f t="shared" si="1"/>
        <v>n/a</v>
      </c>
      <c r="L21" s="67"/>
      <c r="M21" s="67"/>
      <c r="N21" s="67"/>
      <c r="O21" s="68" t="str">
        <f t="shared" si="2"/>
        <v>n/a</v>
      </c>
      <c r="P21" s="69"/>
      <c r="Q21" s="69"/>
      <c r="R21" s="69"/>
      <c r="S21" s="70" t="str">
        <f t="shared" si="3"/>
        <v>n/a</v>
      </c>
      <c r="T21" s="67"/>
      <c r="U21" s="67"/>
      <c r="V21" s="67"/>
      <c r="W21" s="68" t="str">
        <f t="shared" si="4"/>
        <v>n/a</v>
      </c>
      <c r="X21" s="69"/>
      <c r="Y21" s="69"/>
      <c r="Z21" s="69"/>
      <c r="AA21" s="70" t="str">
        <f t="shared" si="5"/>
        <v>n/a</v>
      </c>
      <c r="AB21" s="67"/>
      <c r="AC21" s="67"/>
      <c r="AD21" s="67"/>
      <c r="AE21" s="68" t="str">
        <f t="shared" si="6"/>
        <v>n/a</v>
      </c>
      <c r="AF21" s="69"/>
      <c r="AG21" s="69"/>
      <c r="AH21" s="69"/>
      <c r="AI21" s="70" t="str">
        <f t="shared" si="7"/>
        <v>n/a</v>
      </c>
      <c r="AJ21" s="67"/>
      <c r="AK21" s="67"/>
      <c r="AL21" s="67"/>
      <c r="AM21" s="68" t="str">
        <f t="shared" si="8"/>
        <v>n/a</v>
      </c>
      <c r="AN21" s="69"/>
      <c r="AO21" s="69"/>
      <c r="AP21" s="69"/>
      <c r="AQ21" s="70" t="str">
        <f t="shared" si="9"/>
        <v>n/a</v>
      </c>
      <c r="AR21" s="67"/>
      <c r="AS21" s="67"/>
      <c r="AT21" s="67"/>
      <c r="AU21" s="68" t="str">
        <f t="shared" si="10"/>
        <v>n/a</v>
      </c>
      <c r="AV21" s="69"/>
      <c r="AW21" s="69"/>
      <c r="AX21" s="69"/>
      <c r="AY21" s="70" t="str">
        <f t="shared" si="11"/>
        <v>n/a</v>
      </c>
      <c r="AZ21" s="67"/>
      <c r="BA21" s="67"/>
      <c r="BB21" s="67"/>
      <c r="BC21" s="68" t="str">
        <f t="shared" si="12"/>
        <v>n/a</v>
      </c>
      <c r="BD21" s="69"/>
      <c r="BE21" s="69"/>
      <c r="BF21" s="69"/>
      <c r="BG21" s="70" t="str">
        <f t="shared" si="13"/>
        <v>n/a</v>
      </c>
      <c r="BH21" s="67"/>
      <c r="BI21" s="67"/>
      <c r="BJ21" s="67"/>
      <c r="BK21" s="68" t="str">
        <f t="shared" si="14"/>
        <v>n/a</v>
      </c>
      <c r="BL21" s="69"/>
      <c r="BM21" s="69"/>
      <c r="BN21" s="69"/>
      <c r="BO21" s="70" t="str">
        <f t="shared" si="15"/>
        <v>n/a</v>
      </c>
      <c r="BP21" s="67"/>
      <c r="BQ21" s="67"/>
      <c r="BR21" s="67"/>
      <c r="BS21" s="68" t="str">
        <f t="shared" si="16"/>
        <v>n/a</v>
      </c>
      <c r="BT21" s="69"/>
      <c r="BU21" s="69"/>
      <c r="BV21" s="69"/>
      <c r="BW21" s="70" t="str">
        <f t="shared" si="17"/>
        <v>n/a</v>
      </c>
      <c r="BX21" s="67"/>
      <c r="BY21" s="67"/>
      <c r="BZ21" s="67"/>
      <c r="CA21" s="68" t="str">
        <f t="shared" si="18"/>
        <v>n/a</v>
      </c>
      <c r="CB21" s="69"/>
      <c r="CC21" s="69"/>
      <c r="CD21" s="69"/>
      <c r="CE21" s="70" t="str">
        <f t="shared" si="19"/>
        <v>n/a</v>
      </c>
      <c r="CF21" s="67"/>
      <c r="CG21" s="67"/>
      <c r="CH21" s="67"/>
      <c r="CI21" s="68" t="str">
        <f t="shared" si="20"/>
        <v>n/a</v>
      </c>
      <c r="CJ21" s="69"/>
      <c r="CK21" s="69"/>
      <c r="CL21" s="69"/>
      <c r="CM21" s="70" t="str">
        <f t="shared" si="21"/>
        <v>n/a</v>
      </c>
      <c r="CN21" s="67"/>
      <c r="CO21" s="67"/>
      <c r="CP21" s="67"/>
      <c r="CQ21" s="68" t="str">
        <f t="shared" si="22"/>
        <v>n/a</v>
      </c>
      <c r="CR21" s="69"/>
      <c r="CS21" s="69"/>
      <c r="CT21" s="69"/>
      <c r="CU21" s="70" t="str">
        <f t="shared" si="23"/>
        <v>n/a</v>
      </c>
      <c r="CV21" s="67"/>
      <c r="CW21" s="67"/>
      <c r="CX21" s="67"/>
      <c r="CY21" s="68" t="str">
        <f t="shared" si="24"/>
        <v>n/a</v>
      </c>
      <c r="CZ21" s="69"/>
      <c r="DA21" s="69"/>
      <c r="DB21" s="69"/>
      <c r="DC21" s="70" t="str">
        <f t="shared" si="25"/>
        <v>n/a</v>
      </c>
      <c r="DD21" s="67"/>
      <c r="DE21" s="67"/>
      <c r="DF21" s="67"/>
      <c r="DG21" s="68" t="str">
        <f t="shared" si="26"/>
        <v>n/a</v>
      </c>
      <c r="DH21" s="69"/>
      <c r="DI21" s="69"/>
      <c r="DJ21" s="69"/>
      <c r="DK21" s="70" t="str">
        <f t="shared" si="27"/>
        <v>n/a</v>
      </c>
      <c r="DL21" s="67"/>
      <c r="DM21" s="67"/>
      <c r="DN21" s="67"/>
      <c r="DO21" s="68" t="str">
        <f t="shared" si="28"/>
        <v>n/a</v>
      </c>
      <c r="DP21" s="69"/>
      <c r="DQ21" s="69"/>
      <c r="DR21" s="69"/>
      <c r="DS21" s="70" t="str">
        <f t="shared" si="29"/>
        <v>n/a</v>
      </c>
      <c r="DT21" s="66" t="str">
        <f t="shared" si="30"/>
        <v>n/a</v>
      </c>
      <c r="DU21" s="66" t="str">
        <f t="shared" si="31"/>
        <v>n/a</v>
      </c>
    </row>
    <row r="22" spans="1:125" s="40" customFormat="1" ht="31" customHeight="1" x14ac:dyDescent="0.25">
      <c r="A22" s="66"/>
      <c r="B22" s="66"/>
      <c r="C22" s="66"/>
      <c r="D22" s="67"/>
      <c r="E22" s="67"/>
      <c r="F22" s="67"/>
      <c r="G22" s="68" t="str">
        <f t="shared" si="0"/>
        <v>n/a</v>
      </c>
      <c r="H22" s="69"/>
      <c r="I22" s="69"/>
      <c r="J22" s="69"/>
      <c r="K22" s="70" t="str">
        <f t="shared" si="1"/>
        <v>n/a</v>
      </c>
      <c r="L22" s="67"/>
      <c r="M22" s="67"/>
      <c r="N22" s="67"/>
      <c r="O22" s="68" t="str">
        <f t="shared" si="2"/>
        <v>n/a</v>
      </c>
      <c r="P22" s="69"/>
      <c r="Q22" s="69"/>
      <c r="R22" s="69"/>
      <c r="S22" s="70" t="str">
        <f t="shared" si="3"/>
        <v>n/a</v>
      </c>
      <c r="T22" s="67"/>
      <c r="U22" s="67"/>
      <c r="V22" s="67"/>
      <c r="W22" s="68" t="str">
        <f t="shared" si="4"/>
        <v>n/a</v>
      </c>
      <c r="X22" s="69"/>
      <c r="Y22" s="69"/>
      <c r="Z22" s="69"/>
      <c r="AA22" s="70" t="str">
        <f t="shared" si="5"/>
        <v>n/a</v>
      </c>
      <c r="AB22" s="67"/>
      <c r="AC22" s="67"/>
      <c r="AD22" s="67"/>
      <c r="AE22" s="68" t="str">
        <f t="shared" si="6"/>
        <v>n/a</v>
      </c>
      <c r="AF22" s="69"/>
      <c r="AG22" s="69"/>
      <c r="AH22" s="69"/>
      <c r="AI22" s="70" t="str">
        <f t="shared" si="7"/>
        <v>n/a</v>
      </c>
      <c r="AJ22" s="67"/>
      <c r="AK22" s="67"/>
      <c r="AL22" s="67"/>
      <c r="AM22" s="68" t="str">
        <f t="shared" si="8"/>
        <v>n/a</v>
      </c>
      <c r="AN22" s="69"/>
      <c r="AO22" s="69"/>
      <c r="AP22" s="69"/>
      <c r="AQ22" s="70" t="str">
        <f t="shared" si="9"/>
        <v>n/a</v>
      </c>
      <c r="AR22" s="67"/>
      <c r="AS22" s="67"/>
      <c r="AT22" s="67"/>
      <c r="AU22" s="68" t="str">
        <f t="shared" si="10"/>
        <v>n/a</v>
      </c>
      <c r="AV22" s="69"/>
      <c r="AW22" s="69"/>
      <c r="AX22" s="69"/>
      <c r="AY22" s="70" t="str">
        <f t="shared" si="11"/>
        <v>n/a</v>
      </c>
      <c r="AZ22" s="67"/>
      <c r="BA22" s="67"/>
      <c r="BB22" s="67"/>
      <c r="BC22" s="68" t="str">
        <f t="shared" si="12"/>
        <v>n/a</v>
      </c>
      <c r="BD22" s="69"/>
      <c r="BE22" s="69"/>
      <c r="BF22" s="69"/>
      <c r="BG22" s="70" t="str">
        <f t="shared" si="13"/>
        <v>n/a</v>
      </c>
      <c r="BH22" s="67"/>
      <c r="BI22" s="67"/>
      <c r="BJ22" s="67"/>
      <c r="BK22" s="68" t="str">
        <f t="shared" si="14"/>
        <v>n/a</v>
      </c>
      <c r="BL22" s="69"/>
      <c r="BM22" s="69"/>
      <c r="BN22" s="69"/>
      <c r="BO22" s="70" t="str">
        <f t="shared" si="15"/>
        <v>n/a</v>
      </c>
      <c r="BP22" s="67"/>
      <c r="BQ22" s="67"/>
      <c r="BR22" s="67"/>
      <c r="BS22" s="68" t="str">
        <f t="shared" si="16"/>
        <v>n/a</v>
      </c>
      <c r="BT22" s="69"/>
      <c r="BU22" s="69"/>
      <c r="BV22" s="69"/>
      <c r="BW22" s="70" t="str">
        <f t="shared" si="17"/>
        <v>n/a</v>
      </c>
      <c r="BX22" s="67"/>
      <c r="BY22" s="67"/>
      <c r="BZ22" s="67"/>
      <c r="CA22" s="68" t="str">
        <f t="shared" si="18"/>
        <v>n/a</v>
      </c>
      <c r="CB22" s="69"/>
      <c r="CC22" s="69"/>
      <c r="CD22" s="69"/>
      <c r="CE22" s="70" t="str">
        <f t="shared" si="19"/>
        <v>n/a</v>
      </c>
      <c r="CF22" s="67"/>
      <c r="CG22" s="67"/>
      <c r="CH22" s="67"/>
      <c r="CI22" s="68" t="str">
        <f t="shared" si="20"/>
        <v>n/a</v>
      </c>
      <c r="CJ22" s="69"/>
      <c r="CK22" s="69"/>
      <c r="CL22" s="69"/>
      <c r="CM22" s="70" t="str">
        <f t="shared" si="21"/>
        <v>n/a</v>
      </c>
      <c r="CN22" s="67"/>
      <c r="CO22" s="67"/>
      <c r="CP22" s="67"/>
      <c r="CQ22" s="68" t="str">
        <f t="shared" si="22"/>
        <v>n/a</v>
      </c>
      <c r="CR22" s="69"/>
      <c r="CS22" s="69"/>
      <c r="CT22" s="69"/>
      <c r="CU22" s="70" t="str">
        <f t="shared" si="23"/>
        <v>n/a</v>
      </c>
      <c r="CV22" s="67"/>
      <c r="CW22" s="67"/>
      <c r="CX22" s="67"/>
      <c r="CY22" s="68" t="str">
        <f t="shared" si="24"/>
        <v>n/a</v>
      </c>
      <c r="CZ22" s="69"/>
      <c r="DA22" s="69"/>
      <c r="DB22" s="69"/>
      <c r="DC22" s="70" t="str">
        <f t="shared" si="25"/>
        <v>n/a</v>
      </c>
      <c r="DD22" s="67"/>
      <c r="DE22" s="67"/>
      <c r="DF22" s="67"/>
      <c r="DG22" s="68" t="str">
        <f t="shared" si="26"/>
        <v>n/a</v>
      </c>
      <c r="DH22" s="69"/>
      <c r="DI22" s="69"/>
      <c r="DJ22" s="69"/>
      <c r="DK22" s="70" t="str">
        <f t="shared" si="27"/>
        <v>n/a</v>
      </c>
      <c r="DL22" s="67"/>
      <c r="DM22" s="67"/>
      <c r="DN22" s="67"/>
      <c r="DO22" s="68" t="str">
        <f t="shared" si="28"/>
        <v>n/a</v>
      </c>
      <c r="DP22" s="69"/>
      <c r="DQ22" s="69"/>
      <c r="DR22" s="69"/>
      <c r="DS22" s="70" t="str">
        <f t="shared" si="29"/>
        <v>n/a</v>
      </c>
      <c r="DT22" s="66" t="str">
        <f t="shared" si="30"/>
        <v>n/a</v>
      </c>
      <c r="DU22" s="66" t="str">
        <f t="shared" si="31"/>
        <v>n/a</v>
      </c>
    </row>
    <row r="23" spans="1:125" s="40" customFormat="1" ht="31" customHeight="1" x14ac:dyDescent="0.25">
      <c r="A23" s="71"/>
      <c r="B23" s="71"/>
      <c r="C23" s="71"/>
      <c r="D23" s="72"/>
      <c r="E23" s="72"/>
      <c r="F23" s="72"/>
      <c r="G23" s="68" t="str">
        <f t="shared" si="0"/>
        <v>n/a</v>
      </c>
      <c r="H23" s="73"/>
      <c r="I23" s="73"/>
      <c r="J23" s="73"/>
      <c r="K23" s="70" t="str">
        <f t="shared" si="1"/>
        <v>n/a</v>
      </c>
      <c r="L23" s="72"/>
      <c r="M23" s="72"/>
      <c r="N23" s="72"/>
      <c r="O23" s="68" t="str">
        <f t="shared" si="2"/>
        <v>n/a</v>
      </c>
      <c r="P23" s="73"/>
      <c r="Q23" s="73"/>
      <c r="R23" s="73"/>
      <c r="S23" s="70" t="str">
        <f t="shared" si="3"/>
        <v>n/a</v>
      </c>
      <c r="T23" s="72"/>
      <c r="U23" s="72"/>
      <c r="V23" s="72"/>
      <c r="W23" s="68" t="str">
        <f t="shared" si="4"/>
        <v>n/a</v>
      </c>
      <c r="X23" s="73"/>
      <c r="Y23" s="73"/>
      <c r="Z23" s="73"/>
      <c r="AA23" s="70" t="str">
        <f t="shared" si="5"/>
        <v>n/a</v>
      </c>
      <c r="AB23" s="72"/>
      <c r="AC23" s="72"/>
      <c r="AD23" s="72"/>
      <c r="AE23" s="68" t="str">
        <f t="shared" si="6"/>
        <v>n/a</v>
      </c>
      <c r="AF23" s="73"/>
      <c r="AG23" s="73"/>
      <c r="AH23" s="73"/>
      <c r="AI23" s="70" t="str">
        <f t="shared" si="7"/>
        <v>n/a</v>
      </c>
      <c r="AJ23" s="72"/>
      <c r="AK23" s="72"/>
      <c r="AL23" s="72"/>
      <c r="AM23" s="68" t="str">
        <f t="shared" si="8"/>
        <v>n/a</v>
      </c>
      <c r="AN23" s="73"/>
      <c r="AO23" s="73"/>
      <c r="AP23" s="73"/>
      <c r="AQ23" s="70" t="str">
        <f t="shared" si="9"/>
        <v>n/a</v>
      </c>
      <c r="AR23" s="72"/>
      <c r="AS23" s="72"/>
      <c r="AT23" s="72"/>
      <c r="AU23" s="68" t="str">
        <f t="shared" si="10"/>
        <v>n/a</v>
      </c>
      <c r="AV23" s="73"/>
      <c r="AW23" s="73"/>
      <c r="AX23" s="73"/>
      <c r="AY23" s="70" t="str">
        <f t="shared" si="11"/>
        <v>n/a</v>
      </c>
      <c r="AZ23" s="72"/>
      <c r="BA23" s="72"/>
      <c r="BB23" s="72"/>
      <c r="BC23" s="68" t="str">
        <f t="shared" si="12"/>
        <v>n/a</v>
      </c>
      <c r="BD23" s="73"/>
      <c r="BE23" s="73"/>
      <c r="BF23" s="73"/>
      <c r="BG23" s="70" t="str">
        <f t="shared" si="13"/>
        <v>n/a</v>
      </c>
      <c r="BH23" s="72"/>
      <c r="BI23" s="72"/>
      <c r="BJ23" s="72"/>
      <c r="BK23" s="68" t="str">
        <f t="shared" si="14"/>
        <v>n/a</v>
      </c>
      <c r="BL23" s="73"/>
      <c r="BM23" s="73"/>
      <c r="BN23" s="73"/>
      <c r="BO23" s="70" t="str">
        <f t="shared" si="15"/>
        <v>n/a</v>
      </c>
      <c r="BP23" s="72"/>
      <c r="BQ23" s="72"/>
      <c r="BR23" s="72"/>
      <c r="BS23" s="68" t="str">
        <f t="shared" si="16"/>
        <v>n/a</v>
      </c>
      <c r="BT23" s="73"/>
      <c r="BU23" s="73"/>
      <c r="BV23" s="73"/>
      <c r="BW23" s="70" t="str">
        <f t="shared" si="17"/>
        <v>n/a</v>
      </c>
      <c r="BX23" s="72"/>
      <c r="BY23" s="72"/>
      <c r="BZ23" s="72"/>
      <c r="CA23" s="68" t="str">
        <f t="shared" si="18"/>
        <v>n/a</v>
      </c>
      <c r="CB23" s="73"/>
      <c r="CC23" s="73"/>
      <c r="CD23" s="73"/>
      <c r="CE23" s="70" t="str">
        <f t="shared" si="19"/>
        <v>n/a</v>
      </c>
      <c r="CF23" s="72"/>
      <c r="CG23" s="72"/>
      <c r="CH23" s="72"/>
      <c r="CI23" s="68" t="str">
        <f t="shared" si="20"/>
        <v>n/a</v>
      </c>
      <c r="CJ23" s="73"/>
      <c r="CK23" s="73"/>
      <c r="CL23" s="73"/>
      <c r="CM23" s="70" t="str">
        <f t="shared" si="21"/>
        <v>n/a</v>
      </c>
      <c r="CN23" s="72"/>
      <c r="CO23" s="72"/>
      <c r="CP23" s="72"/>
      <c r="CQ23" s="68" t="str">
        <f t="shared" si="22"/>
        <v>n/a</v>
      </c>
      <c r="CR23" s="73"/>
      <c r="CS23" s="73"/>
      <c r="CT23" s="73"/>
      <c r="CU23" s="70" t="str">
        <f t="shared" si="23"/>
        <v>n/a</v>
      </c>
      <c r="CV23" s="72"/>
      <c r="CW23" s="72"/>
      <c r="CX23" s="72"/>
      <c r="CY23" s="68" t="str">
        <f t="shared" si="24"/>
        <v>n/a</v>
      </c>
      <c r="CZ23" s="73"/>
      <c r="DA23" s="73"/>
      <c r="DB23" s="73"/>
      <c r="DC23" s="70" t="str">
        <f t="shared" si="25"/>
        <v>n/a</v>
      </c>
      <c r="DD23" s="72"/>
      <c r="DE23" s="72"/>
      <c r="DF23" s="72"/>
      <c r="DG23" s="68" t="str">
        <f t="shared" si="26"/>
        <v>n/a</v>
      </c>
      <c r="DH23" s="73"/>
      <c r="DI23" s="73"/>
      <c r="DJ23" s="73"/>
      <c r="DK23" s="70" t="str">
        <f t="shared" si="27"/>
        <v>n/a</v>
      </c>
      <c r="DL23" s="72"/>
      <c r="DM23" s="72"/>
      <c r="DN23" s="72"/>
      <c r="DO23" s="68" t="str">
        <f t="shared" si="28"/>
        <v>n/a</v>
      </c>
      <c r="DP23" s="73"/>
      <c r="DQ23" s="73"/>
      <c r="DR23" s="73"/>
      <c r="DS23" s="70" t="str">
        <f t="shared" si="29"/>
        <v>n/a</v>
      </c>
      <c r="DT23" s="66" t="str">
        <f t="shared" si="30"/>
        <v>n/a</v>
      </c>
      <c r="DU23" s="66" t="str">
        <f t="shared" si="31"/>
        <v>n/a</v>
      </c>
    </row>
    <row r="24" spans="1:125" s="40" customFormat="1" ht="31" customHeight="1" x14ac:dyDescent="0.25">
      <c r="A24" s="66"/>
      <c r="B24" s="66"/>
      <c r="C24" s="66"/>
      <c r="D24" s="67"/>
      <c r="E24" s="67"/>
      <c r="F24" s="67"/>
      <c r="G24" s="68" t="str">
        <f t="shared" si="0"/>
        <v>n/a</v>
      </c>
      <c r="H24" s="69"/>
      <c r="I24" s="69"/>
      <c r="J24" s="69"/>
      <c r="K24" s="70" t="str">
        <f t="shared" si="1"/>
        <v>n/a</v>
      </c>
      <c r="L24" s="67"/>
      <c r="M24" s="67"/>
      <c r="N24" s="67"/>
      <c r="O24" s="68" t="str">
        <f t="shared" si="2"/>
        <v>n/a</v>
      </c>
      <c r="P24" s="69"/>
      <c r="Q24" s="69"/>
      <c r="R24" s="69"/>
      <c r="S24" s="70" t="str">
        <f t="shared" si="3"/>
        <v>n/a</v>
      </c>
      <c r="T24" s="67"/>
      <c r="U24" s="67"/>
      <c r="V24" s="67"/>
      <c r="W24" s="68" t="str">
        <f t="shared" si="4"/>
        <v>n/a</v>
      </c>
      <c r="X24" s="69"/>
      <c r="Y24" s="69"/>
      <c r="Z24" s="69"/>
      <c r="AA24" s="70" t="str">
        <f t="shared" si="5"/>
        <v>n/a</v>
      </c>
      <c r="AB24" s="67"/>
      <c r="AC24" s="67"/>
      <c r="AD24" s="67"/>
      <c r="AE24" s="68" t="str">
        <f t="shared" si="6"/>
        <v>n/a</v>
      </c>
      <c r="AF24" s="69"/>
      <c r="AG24" s="69"/>
      <c r="AH24" s="69"/>
      <c r="AI24" s="70" t="str">
        <f t="shared" si="7"/>
        <v>n/a</v>
      </c>
      <c r="AJ24" s="67"/>
      <c r="AK24" s="67"/>
      <c r="AL24" s="67"/>
      <c r="AM24" s="68" t="str">
        <f t="shared" si="8"/>
        <v>n/a</v>
      </c>
      <c r="AN24" s="69"/>
      <c r="AO24" s="69"/>
      <c r="AP24" s="69"/>
      <c r="AQ24" s="70" t="str">
        <f t="shared" si="9"/>
        <v>n/a</v>
      </c>
      <c r="AR24" s="67"/>
      <c r="AS24" s="67"/>
      <c r="AT24" s="67"/>
      <c r="AU24" s="68" t="str">
        <f t="shared" si="10"/>
        <v>n/a</v>
      </c>
      <c r="AV24" s="69"/>
      <c r="AW24" s="69"/>
      <c r="AX24" s="69"/>
      <c r="AY24" s="70" t="str">
        <f t="shared" si="11"/>
        <v>n/a</v>
      </c>
      <c r="AZ24" s="67"/>
      <c r="BA24" s="67"/>
      <c r="BB24" s="67"/>
      <c r="BC24" s="68" t="str">
        <f t="shared" si="12"/>
        <v>n/a</v>
      </c>
      <c r="BD24" s="69"/>
      <c r="BE24" s="69"/>
      <c r="BF24" s="69"/>
      <c r="BG24" s="70" t="str">
        <f t="shared" si="13"/>
        <v>n/a</v>
      </c>
      <c r="BH24" s="67"/>
      <c r="BI24" s="67"/>
      <c r="BJ24" s="67"/>
      <c r="BK24" s="68" t="str">
        <f t="shared" si="14"/>
        <v>n/a</v>
      </c>
      <c r="BL24" s="69"/>
      <c r="BM24" s="69"/>
      <c r="BN24" s="69"/>
      <c r="BO24" s="70" t="str">
        <f t="shared" si="15"/>
        <v>n/a</v>
      </c>
      <c r="BP24" s="67"/>
      <c r="BQ24" s="67"/>
      <c r="BR24" s="67"/>
      <c r="BS24" s="68" t="str">
        <f t="shared" si="16"/>
        <v>n/a</v>
      </c>
      <c r="BT24" s="69"/>
      <c r="BU24" s="69"/>
      <c r="BV24" s="69"/>
      <c r="BW24" s="70" t="str">
        <f t="shared" si="17"/>
        <v>n/a</v>
      </c>
      <c r="BX24" s="67"/>
      <c r="BY24" s="67"/>
      <c r="BZ24" s="67"/>
      <c r="CA24" s="68" t="str">
        <f t="shared" si="18"/>
        <v>n/a</v>
      </c>
      <c r="CB24" s="69"/>
      <c r="CC24" s="69"/>
      <c r="CD24" s="69"/>
      <c r="CE24" s="70" t="str">
        <f t="shared" si="19"/>
        <v>n/a</v>
      </c>
      <c r="CF24" s="67"/>
      <c r="CG24" s="67"/>
      <c r="CH24" s="67"/>
      <c r="CI24" s="68" t="str">
        <f t="shared" si="20"/>
        <v>n/a</v>
      </c>
      <c r="CJ24" s="69"/>
      <c r="CK24" s="69"/>
      <c r="CL24" s="69"/>
      <c r="CM24" s="70" t="str">
        <f t="shared" si="21"/>
        <v>n/a</v>
      </c>
      <c r="CN24" s="67"/>
      <c r="CO24" s="67"/>
      <c r="CP24" s="67"/>
      <c r="CQ24" s="68" t="str">
        <f t="shared" si="22"/>
        <v>n/a</v>
      </c>
      <c r="CR24" s="69"/>
      <c r="CS24" s="69"/>
      <c r="CT24" s="69"/>
      <c r="CU24" s="70" t="str">
        <f t="shared" si="23"/>
        <v>n/a</v>
      </c>
      <c r="CV24" s="67"/>
      <c r="CW24" s="67"/>
      <c r="CX24" s="67"/>
      <c r="CY24" s="68" t="str">
        <f t="shared" si="24"/>
        <v>n/a</v>
      </c>
      <c r="CZ24" s="69"/>
      <c r="DA24" s="69"/>
      <c r="DB24" s="69"/>
      <c r="DC24" s="70" t="str">
        <f t="shared" si="25"/>
        <v>n/a</v>
      </c>
      <c r="DD24" s="67"/>
      <c r="DE24" s="67"/>
      <c r="DF24" s="67"/>
      <c r="DG24" s="68" t="str">
        <f t="shared" si="26"/>
        <v>n/a</v>
      </c>
      <c r="DH24" s="69"/>
      <c r="DI24" s="69"/>
      <c r="DJ24" s="69"/>
      <c r="DK24" s="70" t="str">
        <f t="shared" si="27"/>
        <v>n/a</v>
      </c>
      <c r="DL24" s="67"/>
      <c r="DM24" s="67"/>
      <c r="DN24" s="67"/>
      <c r="DO24" s="68" t="str">
        <f t="shared" si="28"/>
        <v>n/a</v>
      </c>
      <c r="DP24" s="69"/>
      <c r="DQ24" s="69"/>
      <c r="DR24" s="69"/>
      <c r="DS24" s="70" t="str">
        <f t="shared" si="29"/>
        <v>n/a</v>
      </c>
      <c r="DT24" s="66" t="str">
        <f t="shared" si="30"/>
        <v>n/a</v>
      </c>
      <c r="DU24" s="66" t="str">
        <f t="shared" si="31"/>
        <v>n/a</v>
      </c>
    </row>
    <row r="25" spans="1:125" s="40" customFormat="1" ht="31" customHeight="1" x14ac:dyDescent="0.25">
      <c r="A25" s="66"/>
      <c r="B25" s="66"/>
      <c r="C25" s="66"/>
      <c r="D25" s="67"/>
      <c r="E25" s="67"/>
      <c r="F25" s="67"/>
      <c r="G25" s="68" t="str">
        <f t="shared" si="0"/>
        <v>n/a</v>
      </c>
      <c r="H25" s="69"/>
      <c r="I25" s="69"/>
      <c r="J25" s="69"/>
      <c r="K25" s="70" t="str">
        <f t="shared" si="1"/>
        <v>n/a</v>
      </c>
      <c r="L25" s="67"/>
      <c r="M25" s="67"/>
      <c r="N25" s="67"/>
      <c r="O25" s="68" t="str">
        <f t="shared" si="2"/>
        <v>n/a</v>
      </c>
      <c r="P25" s="69"/>
      <c r="Q25" s="69"/>
      <c r="R25" s="69"/>
      <c r="S25" s="70" t="str">
        <f t="shared" si="3"/>
        <v>n/a</v>
      </c>
      <c r="T25" s="67"/>
      <c r="U25" s="67"/>
      <c r="V25" s="67"/>
      <c r="W25" s="68" t="str">
        <f t="shared" si="4"/>
        <v>n/a</v>
      </c>
      <c r="X25" s="69"/>
      <c r="Y25" s="69"/>
      <c r="Z25" s="69"/>
      <c r="AA25" s="70" t="str">
        <f t="shared" si="5"/>
        <v>n/a</v>
      </c>
      <c r="AB25" s="67"/>
      <c r="AC25" s="67"/>
      <c r="AD25" s="67"/>
      <c r="AE25" s="68" t="str">
        <f t="shared" si="6"/>
        <v>n/a</v>
      </c>
      <c r="AF25" s="69"/>
      <c r="AG25" s="69"/>
      <c r="AH25" s="69"/>
      <c r="AI25" s="70" t="str">
        <f t="shared" si="7"/>
        <v>n/a</v>
      </c>
      <c r="AJ25" s="67"/>
      <c r="AK25" s="67"/>
      <c r="AL25" s="67"/>
      <c r="AM25" s="68" t="str">
        <f t="shared" si="8"/>
        <v>n/a</v>
      </c>
      <c r="AN25" s="69"/>
      <c r="AO25" s="69"/>
      <c r="AP25" s="69"/>
      <c r="AQ25" s="70" t="str">
        <f t="shared" si="9"/>
        <v>n/a</v>
      </c>
      <c r="AR25" s="67"/>
      <c r="AS25" s="67"/>
      <c r="AT25" s="67"/>
      <c r="AU25" s="68" t="str">
        <f t="shared" si="10"/>
        <v>n/a</v>
      </c>
      <c r="AV25" s="69"/>
      <c r="AW25" s="69"/>
      <c r="AX25" s="69"/>
      <c r="AY25" s="70" t="str">
        <f t="shared" si="11"/>
        <v>n/a</v>
      </c>
      <c r="AZ25" s="67"/>
      <c r="BA25" s="67"/>
      <c r="BB25" s="67"/>
      <c r="BC25" s="68" t="str">
        <f t="shared" si="12"/>
        <v>n/a</v>
      </c>
      <c r="BD25" s="69"/>
      <c r="BE25" s="69"/>
      <c r="BF25" s="69"/>
      <c r="BG25" s="70" t="str">
        <f t="shared" si="13"/>
        <v>n/a</v>
      </c>
      <c r="BH25" s="67"/>
      <c r="BI25" s="67"/>
      <c r="BJ25" s="67"/>
      <c r="BK25" s="68" t="str">
        <f t="shared" si="14"/>
        <v>n/a</v>
      </c>
      <c r="BL25" s="69"/>
      <c r="BM25" s="69"/>
      <c r="BN25" s="69"/>
      <c r="BO25" s="70" t="str">
        <f t="shared" si="15"/>
        <v>n/a</v>
      </c>
      <c r="BP25" s="67"/>
      <c r="BQ25" s="67"/>
      <c r="BR25" s="67"/>
      <c r="BS25" s="68" t="str">
        <f t="shared" si="16"/>
        <v>n/a</v>
      </c>
      <c r="BT25" s="69"/>
      <c r="BU25" s="69"/>
      <c r="BV25" s="69"/>
      <c r="BW25" s="70" t="str">
        <f t="shared" si="17"/>
        <v>n/a</v>
      </c>
      <c r="BX25" s="67"/>
      <c r="BY25" s="67"/>
      <c r="BZ25" s="67"/>
      <c r="CA25" s="68" t="str">
        <f t="shared" si="18"/>
        <v>n/a</v>
      </c>
      <c r="CB25" s="69"/>
      <c r="CC25" s="69"/>
      <c r="CD25" s="69"/>
      <c r="CE25" s="70" t="str">
        <f t="shared" si="19"/>
        <v>n/a</v>
      </c>
      <c r="CF25" s="67"/>
      <c r="CG25" s="67"/>
      <c r="CH25" s="67"/>
      <c r="CI25" s="68" t="str">
        <f t="shared" si="20"/>
        <v>n/a</v>
      </c>
      <c r="CJ25" s="69"/>
      <c r="CK25" s="69"/>
      <c r="CL25" s="69"/>
      <c r="CM25" s="70" t="str">
        <f t="shared" si="21"/>
        <v>n/a</v>
      </c>
      <c r="CN25" s="67"/>
      <c r="CO25" s="67"/>
      <c r="CP25" s="67"/>
      <c r="CQ25" s="68" t="str">
        <f t="shared" si="22"/>
        <v>n/a</v>
      </c>
      <c r="CR25" s="69"/>
      <c r="CS25" s="69"/>
      <c r="CT25" s="69"/>
      <c r="CU25" s="70" t="str">
        <f t="shared" si="23"/>
        <v>n/a</v>
      </c>
      <c r="CV25" s="67"/>
      <c r="CW25" s="67"/>
      <c r="CX25" s="67"/>
      <c r="CY25" s="68" t="str">
        <f t="shared" si="24"/>
        <v>n/a</v>
      </c>
      <c r="CZ25" s="69"/>
      <c r="DA25" s="69"/>
      <c r="DB25" s="69"/>
      <c r="DC25" s="70" t="str">
        <f t="shared" si="25"/>
        <v>n/a</v>
      </c>
      <c r="DD25" s="67"/>
      <c r="DE25" s="67"/>
      <c r="DF25" s="67"/>
      <c r="DG25" s="68" t="str">
        <f t="shared" si="26"/>
        <v>n/a</v>
      </c>
      <c r="DH25" s="69"/>
      <c r="DI25" s="69"/>
      <c r="DJ25" s="69"/>
      <c r="DK25" s="70" t="str">
        <f t="shared" si="27"/>
        <v>n/a</v>
      </c>
      <c r="DL25" s="67"/>
      <c r="DM25" s="67"/>
      <c r="DN25" s="67"/>
      <c r="DO25" s="68" t="str">
        <f t="shared" si="28"/>
        <v>n/a</v>
      </c>
      <c r="DP25" s="69"/>
      <c r="DQ25" s="69"/>
      <c r="DR25" s="69"/>
      <c r="DS25" s="70" t="str">
        <f t="shared" si="29"/>
        <v>n/a</v>
      </c>
      <c r="DT25" s="66" t="str">
        <f t="shared" si="30"/>
        <v>n/a</v>
      </c>
      <c r="DU25" s="66" t="str">
        <f t="shared" si="31"/>
        <v>n/a</v>
      </c>
    </row>
    <row r="26" spans="1:125" s="40" customFormat="1" ht="31" customHeight="1" x14ac:dyDescent="0.25">
      <c r="A26" s="66"/>
      <c r="B26" s="66"/>
      <c r="C26" s="66"/>
      <c r="D26" s="67"/>
      <c r="E26" s="67"/>
      <c r="F26" s="67"/>
      <c r="G26" s="68" t="str">
        <f t="shared" si="0"/>
        <v>n/a</v>
      </c>
      <c r="H26" s="69"/>
      <c r="I26" s="69"/>
      <c r="J26" s="69"/>
      <c r="K26" s="70" t="str">
        <f t="shared" si="1"/>
        <v>n/a</v>
      </c>
      <c r="L26" s="67"/>
      <c r="M26" s="67"/>
      <c r="N26" s="67"/>
      <c r="O26" s="68" t="str">
        <f t="shared" si="2"/>
        <v>n/a</v>
      </c>
      <c r="P26" s="69"/>
      <c r="Q26" s="69"/>
      <c r="R26" s="69"/>
      <c r="S26" s="70" t="str">
        <f t="shared" si="3"/>
        <v>n/a</v>
      </c>
      <c r="T26" s="67"/>
      <c r="U26" s="67"/>
      <c r="V26" s="67"/>
      <c r="W26" s="68" t="str">
        <f t="shared" si="4"/>
        <v>n/a</v>
      </c>
      <c r="X26" s="69"/>
      <c r="Y26" s="69"/>
      <c r="Z26" s="69"/>
      <c r="AA26" s="70" t="str">
        <f t="shared" si="5"/>
        <v>n/a</v>
      </c>
      <c r="AB26" s="67"/>
      <c r="AC26" s="67"/>
      <c r="AD26" s="67"/>
      <c r="AE26" s="68" t="str">
        <f t="shared" si="6"/>
        <v>n/a</v>
      </c>
      <c r="AF26" s="69"/>
      <c r="AG26" s="69"/>
      <c r="AH26" s="69"/>
      <c r="AI26" s="70" t="str">
        <f t="shared" si="7"/>
        <v>n/a</v>
      </c>
      <c r="AJ26" s="67"/>
      <c r="AK26" s="67"/>
      <c r="AL26" s="67"/>
      <c r="AM26" s="68" t="str">
        <f t="shared" si="8"/>
        <v>n/a</v>
      </c>
      <c r="AN26" s="69"/>
      <c r="AO26" s="69"/>
      <c r="AP26" s="69"/>
      <c r="AQ26" s="70" t="str">
        <f t="shared" si="9"/>
        <v>n/a</v>
      </c>
      <c r="AR26" s="67"/>
      <c r="AS26" s="67"/>
      <c r="AT26" s="67"/>
      <c r="AU26" s="68" t="str">
        <f t="shared" si="10"/>
        <v>n/a</v>
      </c>
      <c r="AV26" s="69"/>
      <c r="AW26" s="69"/>
      <c r="AX26" s="69"/>
      <c r="AY26" s="70" t="str">
        <f t="shared" si="11"/>
        <v>n/a</v>
      </c>
      <c r="AZ26" s="67"/>
      <c r="BA26" s="67"/>
      <c r="BB26" s="67"/>
      <c r="BC26" s="68" t="str">
        <f t="shared" si="12"/>
        <v>n/a</v>
      </c>
      <c r="BD26" s="69"/>
      <c r="BE26" s="69"/>
      <c r="BF26" s="69"/>
      <c r="BG26" s="70" t="str">
        <f t="shared" si="13"/>
        <v>n/a</v>
      </c>
      <c r="BH26" s="67"/>
      <c r="BI26" s="67"/>
      <c r="BJ26" s="67"/>
      <c r="BK26" s="68" t="str">
        <f t="shared" si="14"/>
        <v>n/a</v>
      </c>
      <c r="BL26" s="69"/>
      <c r="BM26" s="69"/>
      <c r="BN26" s="69"/>
      <c r="BO26" s="70" t="str">
        <f t="shared" si="15"/>
        <v>n/a</v>
      </c>
      <c r="BP26" s="67"/>
      <c r="BQ26" s="67"/>
      <c r="BR26" s="67"/>
      <c r="BS26" s="68" t="str">
        <f t="shared" si="16"/>
        <v>n/a</v>
      </c>
      <c r="BT26" s="69"/>
      <c r="BU26" s="69"/>
      <c r="BV26" s="69"/>
      <c r="BW26" s="70" t="str">
        <f t="shared" si="17"/>
        <v>n/a</v>
      </c>
      <c r="BX26" s="67"/>
      <c r="BY26" s="67"/>
      <c r="BZ26" s="67"/>
      <c r="CA26" s="68" t="str">
        <f t="shared" si="18"/>
        <v>n/a</v>
      </c>
      <c r="CB26" s="69"/>
      <c r="CC26" s="69"/>
      <c r="CD26" s="69"/>
      <c r="CE26" s="70" t="str">
        <f t="shared" si="19"/>
        <v>n/a</v>
      </c>
      <c r="CF26" s="67"/>
      <c r="CG26" s="67"/>
      <c r="CH26" s="67"/>
      <c r="CI26" s="68" t="str">
        <f t="shared" si="20"/>
        <v>n/a</v>
      </c>
      <c r="CJ26" s="69"/>
      <c r="CK26" s="69"/>
      <c r="CL26" s="69"/>
      <c r="CM26" s="70" t="str">
        <f t="shared" si="21"/>
        <v>n/a</v>
      </c>
      <c r="CN26" s="67"/>
      <c r="CO26" s="67"/>
      <c r="CP26" s="67"/>
      <c r="CQ26" s="68" t="str">
        <f t="shared" si="22"/>
        <v>n/a</v>
      </c>
      <c r="CR26" s="69"/>
      <c r="CS26" s="69"/>
      <c r="CT26" s="69"/>
      <c r="CU26" s="70" t="str">
        <f t="shared" si="23"/>
        <v>n/a</v>
      </c>
      <c r="CV26" s="67"/>
      <c r="CW26" s="67"/>
      <c r="CX26" s="67"/>
      <c r="CY26" s="68" t="str">
        <f t="shared" si="24"/>
        <v>n/a</v>
      </c>
      <c r="CZ26" s="69"/>
      <c r="DA26" s="69"/>
      <c r="DB26" s="69"/>
      <c r="DC26" s="70" t="str">
        <f t="shared" si="25"/>
        <v>n/a</v>
      </c>
      <c r="DD26" s="67"/>
      <c r="DE26" s="67"/>
      <c r="DF26" s="67"/>
      <c r="DG26" s="68" t="str">
        <f t="shared" si="26"/>
        <v>n/a</v>
      </c>
      <c r="DH26" s="69"/>
      <c r="DI26" s="69"/>
      <c r="DJ26" s="69"/>
      <c r="DK26" s="70" t="str">
        <f t="shared" si="27"/>
        <v>n/a</v>
      </c>
      <c r="DL26" s="67"/>
      <c r="DM26" s="67"/>
      <c r="DN26" s="67"/>
      <c r="DO26" s="68" t="str">
        <f t="shared" si="28"/>
        <v>n/a</v>
      </c>
      <c r="DP26" s="69"/>
      <c r="DQ26" s="69"/>
      <c r="DR26" s="69"/>
      <c r="DS26" s="70" t="str">
        <f t="shared" si="29"/>
        <v>n/a</v>
      </c>
      <c r="DT26" s="66" t="str">
        <f t="shared" si="30"/>
        <v>n/a</v>
      </c>
      <c r="DU26" s="66" t="str">
        <f t="shared" si="31"/>
        <v>n/a</v>
      </c>
    </row>
    <row r="27" spans="1:125" s="40" customFormat="1" ht="31" customHeight="1" x14ac:dyDescent="0.25">
      <c r="A27" s="66"/>
      <c r="B27" s="66"/>
      <c r="C27" s="66"/>
      <c r="D27" s="67"/>
      <c r="E27" s="67"/>
      <c r="F27" s="67"/>
      <c r="G27" s="68" t="str">
        <f t="shared" si="0"/>
        <v>n/a</v>
      </c>
      <c r="H27" s="69"/>
      <c r="I27" s="69"/>
      <c r="J27" s="69"/>
      <c r="K27" s="70" t="str">
        <f t="shared" si="1"/>
        <v>n/a</v>
      </c>
      <c r="L27" s="67"/>
      <c r="M27" s="67"/>
      <c r="N27" s="67"/>
      <c r="O27" s="68" t="str">
        <f t="shared" si="2"/>
        <v>n/a</v>
      </c>
      <c r="P27" s="69"/>
      <c r="Q27" s="69"/>
      <c r="R27" s="69"/>
      <c r="S27" s="70" t="str">
        <f t="shared" si="3"/>
        <v>n/a</v>
      </c>
      <c r="T27" s="67"/>
      <c r="U27" s="67"/>
      <c r="V27" s="67"/>
      <c r="W27" s="68" t="str">
        <f t="shared" si="4"/>
        <v>n/a</v>
      </c>
      <c r="X27" s="69"/>
      <c r="Y27" s="69"/>
      <c r="Z27" s="69"/>
      <c r="AA27" s="70" t="str">
        <f t="shared" si="5"/>
        <v>n/a</v>
      </c>
      <c r="AB27" s="67"/>
      <c r="AC27" s="67"/>
      <c r="AD27" s="67"/>
      <c r="AE27" s="68" t="str">
        <f t="shared" si="6"/>
        <v>n/a</v>
      </c>
      <c r="AF27" s="69"/>
      <c r="AG27" s="69"/>
      <c r="AH27" s="69"/>
      <c r="AI27" s="70" t="str">
        <f t="shared" si="7"/>
        <v>n/a</v>
      </c>
      <c r="AJ27" s="67"/>
      <c r="AK27" s="67"/>
      <c r="AL27" s="67"/>
      <c r="AM27" s="68" t="str">
        <f t="shared" si="8"/>
        <v>n/a</v>
      </c>
      <c r="AN27" s="69"/>
      <c r="AO27" s="69"/>
      <c r="AP27" s="69"/>
      <c r="AQ27" s="70" t="str">
        <f t="shared" si="9"/>
        <v>n/a</v>
      </c>
      <c r="AR27" s="67"/>
      <c r="AS27" s="67"/>
      <c r="AT27" s="67"/>
      <c r="AU27" s="68" t="str">
        <f t="shared" si="10"/>
        <v>n/a</v>
      </c>
      <c r="AV27" s="69"/>
      <c r="AW27" s="69"/>
      <c r="AX27" s="69"/>
      <c r="AY27" s="70" t="str">
        <f t="shared" si="11"/>
        <v>n/a</v>
      </c>
      <c r="AZ27" s="67"/>
      <c r="BA27" s="67"/>
      <c r="BB27" s="67"/>
      <c r="BC27" s="68" t="str">
        <f t="shared" si="12"/>
        <v>n/a</v>
      </c>
      <c r="BD27" s="69"/>
      <c r="BE27" s="69"/>
      <c r="BF27" s="69"/>
      <c r="BG27" s="70" t="str">
        <f t="shared" si="13"/>
        <v>n/a</v>
      </c>
      <c r="BH27" s="67"/>
      <c r="BI27" s="67"/>
      <c r="BJ27" s="67"/>
      <c r="BK27" s="68" t="str">
        <f t="shared" si="14"/>
        <v>n/a</v>
      </c>
      <c r="BL27" s="69"/>
      <c r="BM27" s="69"/>
      <c r="BN27" s="69"/>
      <c r="BO27" s="70" t="str">
        <f t="shared" si="15"/>
        <v>n/a</v>
      </c>
      <c r="BP27" s="67"/>
      <c r="BQ27" s="67"/>
      <c r="BR27" s="67"/>
      <c r="BS27" s="68" t="str">
        <f t="shared" si="16"/>
        <v>n/a</v>
      </c>
      <c r="BT27" s="69"/>
      <c r="BU27" s="69"/>
      <c r="BV27" s="69"/>
      <c r="BW27" s="70" t="str">
        <f t="shared" si="17"/>
        <v>n/a</v>
      </c>
      <c r="BX27" s="67"/>
      <c r="BY27" s="67"/>
      <c r="BZ27" s="67"/>
      <c r="CA27" s="68" t="str">
        <f t="shared" si="18"/>
        <v>n/a</v>
      </c>
      <c r="CB27" s="69"/>
      <c r="CC27" s="69"/>
      <c r="CD27" s="69"/>
      <c r="CE27" s="70" t="str">
        <f t="shared" si="19"/>
        <v>n/a</v>
      </c>
      <c r="CF27" s="67"/>
      <c r="CG27" s="67"/>
      <c r="CH27" s="67"/>
      <c r="CI27" s="68" t="str">
        <f t="shared" si="20"/>
        <v>n/a</v>
      </c>
      <c r="CJ27" s="69"/>
      <c r="CK27" s="69"/>
      <c r="CL27" s="69"/>
      <c r="CM27" s="70" t="str">
        <f t="shared" si="21"/>
        <v>n/a</v>
      </c>
      <c r="CN27" s="67"/>
      <c r="CO27" s="67"/>
      <c r="CP27" s="67"/>
      <c r="CQ27" s="68" t="str">
        <f t="shared" si="22"/>
        <v>n/a</v>
      </c>
      <c r="CR27" s="69"/>
      <c r="CS27" s="69"/>
      <c r="CT27" s="69"/>
      <c r="CU27" s="70" t="str">
        <f t="shared" si="23"/>
        <v>n/a</v>
      </c>
      <c r="CV27" s="67"/>
      <c r="CW27" s="67"/>
      <c r="CX27" s="67"/>
      <c r="CY27" s="68" t="str">
        <f t="shared" si="24"/>
        <v>n/a</v>
      </c>
      <c r="CZ27" s="69"/>
      <c r="DA27" s="69"/>
      <c r="DB27" s="69"/>
      <c r="DC27" s="70" t="str">
        <f t="shared" si="25"/>
        <v>n/a</v>
      </c>
      <c r="DD27" s="67"/>
      <c r="DE27" s="67"/>
      <c r="DF27" s="67"/>
      <c r="DG27" s="68" t="str">
        <f t="shared" si="26"/>
        <v>n/a</v>
      </c>
      <c r="DH27" s="69"/>
      <c r="DI27" s="69"/>
      <c r="DJ27" s="69"/>
      <c r="DK27" s="70" t="str">
        <f t="shared" si="27"/>
        <v>n/a</v>
      </c>
      <c r="DL27" s="67"/>
      <c r="DM27" s="67"/>
      <c r="DN27" s="67"/>
      <c r="DO27" s="68" t="str">
        <f t="shared" si="28"/>
        <v>n/a</v>
      </c>
      <c r="DP27" s="69"/>
      <c r="DQ27" s="69"/>
      <c r="DR27" s="69"/>
      <c r="DS27" s="70" t="str">
        <f t="shared" si="29"/>
        <v>n/a</v>
      </c>
      <c r="DT27" s="66" t="str">
        <f t="shared" si="30"/>
        <v>n/a</v>
      </c>
      <c r="DU27" s="66" t="str">
        <f t="shared" si="31"/>
        <v>n/a</v>
      </c>
    </row>
    <row r="28" spans="1:125" s="40" customFormat="1" ht="31" customHeight="1" x14ac:dyDescent="0.25">
      <c r="A28" s="66"/>
      <c r="B28" s="66"/>
      <c r="C28" s="66"/>
      <c r="D28" s="67"/>
      <c r="E28" s="67"/>
      <c r="F28" s="67"/>
      <c r="G28" s="68" t="str">
        <f t="shared" si="0"/>
        <v>n/a</v>
      </c>
      <c r="H28" s="69"/>
      <c r="I28" s="69"/>
      <c r="J28" s="69"/>
      <c r="K28" s="70" t="str">
        <f t="shared" si="1"/>
        <v>n/a</v>
      </c>
      <c r="L28" s="67"/>
      <c r="M28" s="67"/>
      <c r="N28" s="67"/>
      <c r="O28" s="68" t="str">
        <f t="shared" si="2"/>
        <v>n/a</v>
      </c>
      <c r="P28" s="69"/>
      <c r="Q28" s="69"/>
      <c r="R28" s="69"/>
      <c r="S28" s="70" t="str">
        <f t="shared" si="3"/>
        <v>n/a</v>
      </c>
      <c r="T28" s="67"/>
      <c r="U28" s="67"/>
      <c r="V28" s="67"/>
      <c r="W28" s="68" t="str">
        <f t="shared" si="4"/>
        <v>n/a</v>
      </c>
      <c r="X28" s="69"/>
      <c r="Y28" s="69"/>
      <c r="Z28" s="69"/>
      <c r="AA28" s="70" t="str">
        <f t="shared" si="5"/>
        <v>n/a</v>
      </c>
      <c r="AB28" s="67"/>
      <c r="AC28" s="67"/>
      <c r="AD28" s="67"/>
      <c r="AE28" s="68" t="str">
        <f t="shared" si="6"/>
        <v>n/a</v>
      </c>
      <c r="AF28" s="69"/>
      <c r="AG28" s="69"/>
      <c r="AH28" s="69"/>
      <c r="AI28" s="70" t="str">
        <f t="shared" si="7"/>
        <v>n/a</v>
      </c>
      <c r="AJ28" s="67"/>
      <c r="AK28" s="67"/>
      <c r="AL28" s="67"/>
      <c r="AM28" s="68" t="str">
        <f t="shared" si="8"/>
        <v>n/a</v>
      </c>
      <c r="AN28" s="69"/>
      <c r="AO28" s="69"/>
      <c r="AP28" s="69"/>
      <c r="AQ28" s="70" t="str">
        <f t="shared" si="9"/>
        <v>n/a</v>
      </c>
      <c r="AR28" s="67"/>
      <c r="AS28" s="67"/>
      <c r="AT28" s="67"/>
      <c r="AU28" s="68" t="str">
        <f t="shared" si="10"/>
        <v>n/a</v>
      </c>
      <c r="AV28" s="69"/>
      <c r="AW28" s="69"/>
      <c r="AX28" s="69"/>
      <c r="AY28" s="70" t="str">
        <f t="shared" si="11"/>
        <v>n/a</v>
      </c>
      <c r="AZ28" s="67"/>
      <c r="BA28" s="67"/>
      <c r="BB28" s="67"/>
      <c r="BC28" s="68" t="str">
        <f t="shared" si="12"/>
        <v>n/a</v>
      </c>
      <c r="BD28" s="69"/>
      <c r="BE28" s="69"/>
      <c r="BF28" s="69"/>
      <c r="BG28" s="70" t="str">
        <f t="shared" si="13"/>
        <v>n/a</v>
      </c>
      <c r="BH28" s="67"/>
      <c r="BI28" s="67"/>
      <c r="BJ28" s="67"/>
      <c r="BK28" s="68" t="str">
        <f t="shared" si="14"/>
        <v>n/a</v>
      </c>
      <c r="BL28" s="69"/>
      <c r="BM28" s="69"/>
      <c r="BN28" s="69"/>
      <c r="BO28" s="70" t="str">
        <f t="shared" si="15"/>
        <v>n/a</v>
      </c>
      <c r="BP28" s="67"/>
      <c r="BQ28" s="67"/>
      <c r="BR28" s="67"/>
      <c r="BS28" s="68" t="str">
        <f t="shared" si="16"/>
        <v>n/a</v>
      </c>
      <c r="BT28" s="69"/>
      <c r="BU28" s="69"/>
      <c r="BV28" s="69"/>
      <c r="BW28" s="70" t="str">
        <f t="shared" si="17"/>
        <v>n/a</v>
      </c>
      <c r="BX28" s="67"/>
      <c r="BY28" s="67"/>
      <c r="BZ28" s="67"/>
      <c r="CA28" s="68" t="str">
        <f t="shared" si="18"/>
        <v>n/a</v>
      </c>
      <c r="CB28" s="69"/>
      <c r="CC28" s="69"/>
      <c r="CD28" s="69"/>
      <c r="CE28" s="70" t="str">
        <f t="shared" si="19"/>
        <v>n/a</v>
      </c>
      <c r="CF28" s="67"/>
      <c r="CG28" s="67"/>
      <c r="CH28" s="67"/>
      <c r="CI28" s="68" t="str">
        <f t="shared" si="20"/>
        <v>n/a</v>
      </c>
      <c r="CJ28" s="69"/>
      <c r="CK28" s="69"/>
      <c r="CL28" s="69"/>
      <c r="CM28" s="70" t="str">
        <f t="shared" si="21"/>
        <v>n/a</v>
      </c>
      <c r="CN28" s="67"/>
      <c r="CO28" s="67"/>
      <c r="CP28" s="67"/>
      <c r="CQ28" s="68" t="str">
        <f t="shared" si="22"/>
        <v>n/a</v>
      </c>
      <c r="CR28" s="69"/>
      <c r="CS28" s="69"/>
      <c r="CT28" s="69"/>
      <c r="CU28" s="70" t="str">
        <f t="shared" si="23"/>
        <v>n/a</v>
      </c>
      <c r="CV28" s="67"/>
      <c r="CW28" s="67"/>
      <c r="CX28" s="67"/>
      <c r="CY28" s="68" t="str">
        <f t="shared" si="24"/>
        <v>n/a</v>
      </c>
      <c r="CZ28" s="69"/>
      <c r="DA28" s="69"/>
      <c r="DB28" s="69"/>
      <c r="DC28" s="70" t="str">
        <f t="shared" si="25"/>
        <v>n/a</v>
      </c>
      <c r="DD28" s="67"/>
      <c r="DE28" s="67"/>
      <c r="DF28" s="67"/>
      <c r="DG28" s="68" t="str">
        <f t="shared" si="26"/>
        <v>n/a</v>
      </c>
      <c r="DH28" s="69"/>
      <c r="DI28" s="69"/>
      <c r="DJ28" s="69"/>
      <c r="DK28" s="70" t="str">
        <f t="shared" si="27"/>
        <v>n/a</v>
      </c>
      <c r="DL28" s="67"/>
      <c r="DM28" s="67"/>
      <c r="DN28" s="67"/>
      <c r="DO28" s="68" t="str">
        <f t="shared" si="28"/>
        <v>n/a</v>
      </c>
      <c r="DP28" s="69"/>
      <c r="DQ28" s="69"/>
      <c r="DR28" s="69"/>
      <c r="DS28" s="70" t="str">
        <f t="shared" si="29"/>
        <v>n/a</v>
      </c>
      <c r="DT28" s="66" t="str">
        <f t="shared" si="30"/>
        <v>n/a</v>
      </c>
      <c r="DU28" s="66" t="str">
        <f t="shared" si="31"/>
        <v>n/a</v>
      </c>
    </row>
    <row r="29" spans="1:125" s="40" customFormat="1" ht="31" customHeight="1" x14ac:dyDescent="0.25">
      <c r="A29" s="66"/>
      <c r="B29" s="66"/>
      <c r="C29" s="66"/>
      <c r="D29" s="67"/>
      <c r="E29" s="67"/>
      <c r="F29" s="67"/>
      <c r="G29" s="68" t="str">
        <f t="shared" si="0"/>
        <v>n/a</v>
      </c>
      <c r="H29" s="69"/>
      <c r="I29" s="69"/>
      <c r="J29" s="69"/>
      <c r="K29" s="70" t="str">
        <f t="shared" si="1"/>
        <v>n/a</v>
      </c>
      <c r="L29" s="67"/>
      <c r="M29" s="67"/>
      <c r="N29" s="67"/>
      <c r="O29" s="68" t="str">
        <f t="shared" si="2"/>
        <v>n/a</v>
      </c>
      <c r="P29" s="69"/>
      <c r="Q29" s="69"/>
      <c r="R29" s="69"/>
      <c r="S29" s="70" t="str">
        <f t="shared" si="3"/>
        <v>n/a</v>
      </c>
      <c r="T29" s="67"/>
      <c r="U29" s="67"/>
      <c r="V29" s="67"/>
      <c r="W29" s="68" t="str">
        <f t="shared" si="4"/>
        <v>n/a</v>
      </c>
      <c r="X29" s="69"/>
      <c r="Y29" s="69"/>
      <c r="Z29" s="69"/>
      <c r="AA29" s="70" t="str">
        <f t="shared" si="5"/>
        <v>n/a</v>
      </c>
      <c r="AB29" s="67"/>
      <c r="AC29" s="67"/>
      <c r="AD29" s="67"/>
      <c r="AE29" s="68" t="str">
        <f t="shared" si="6"/>
        <v>n/a</v>
      </c>
      <c r="AF29" s="69"/>
      <c r="AG29" s="69"/>
      <c r="AH29" s="69"/>
      <c r="AI29" s="70" t="str">
        <f t="shared" si="7"/>
        <v>n/a</v>
      </c>
      <c r="AJ29" s="67"/>
      <c r="AK29" s="67"/>
      <c r="AL29" s="67"/>
      <c r="AM29" s="68" t="str">
        <f t="shared" si="8"/>
        <v>n/a</v>
      </c>
      <c r="AN29" s="69"/>
      <c r="AO29" s="69"/>
      <c r="AP29" s="69"/>
      <c r="AQ29" s="70" t="str">
        <f t="shared" si="9"/>
        <v>n/a</v>
      </c>
      <c r="AR29" s="67"/>
      <c r="AS29" s="67"/>
      <c r="AT29" s="67"/>
      <c r="AU29" s="68" t="str">
        <f t="shared" si="10"/>
        <v>n/a</v>
      </c>
      <c r="AV29" s="69"/>
      <c r="AW29" s="69"/>
      <c r="AX29" s="69"/>
      <c r="AY29" s="70" t="str">
        <f t="shared" si="11"/>
        <v>n/a</v>
      </c>
      <c r="AZ29" s="67"/>
      <c r="BA29" s="67"/>
      <c r="BB29" s="67"/>
      <c r="BC29" s="68" t="str">
        <f t="shared" si="12"/>
        <v>n/a</v>
      </c>
      <c r="BD29" s="69"/>
      <c r="BE29" s="69"/>
      <c r="BF29" s="69"/>
      <c r="BG29" s="70" t="str">
        <f t="shared" si="13"/>
        <v>n/a</v>
      </c>
      <c r="BH29" s="67"/>
      <c r="BI29" s="67"/>
      <c r="BJ29" s="67"/>
      <c r="BK29" s="68" t="str">
        <f t="shared" si="14"/>
        <v>n/a</v>
      </c>
      <c r="BL29" s="69"/>
      <c r="BM29" s="69"/>
      <c r="BN29" s="69"/>
      <c r="BO29" s="70" t="str">
        <f t="shared" si="15"/>
        <v>n/a</v>
      </c>
      <c r="BP29" s="67"/>
      <c r="BQ29" s="67"/>
      <c r="BR29" s="67"/>
      <c r="BS29" s="68" t="str">
        <f t="shared" si="16"/>
        <v>n/a</v>
      </c>
      <c r="BT29" s="69"/>
      <c r="BU29" s="69"/>
      <c r="BV29" s="69"/>
      <c r="BW29" s="70" t="str">
        <f t="shared" si="17"/>
        <v>n/a</v>
      </c>
      <c r="BX29" s="67"/>
      <c r="BY29" s="67"/>
      <c r="BZ29" s="67"/>
      <c r="CA29" s="68" t="str">
        <f t="shared" si="18"/>
        <v>n/a</v>
      </c>
      <c r="CB29" s="69"/>
      <c r="CC29" s="69"/>
      <c r="CD29" s="69"/>
      <c r="CE29" s="70" t="str">
        <f t="shared" si="19"/>
        <v>n/a</v>
      </c>
      <c r="CF29" s="67"/>
      <c r="CG29" s="67"/>
      <c r="CH29" s="67"/>
      <c r="CI29" s="68" t="str">
        <f t="shared" si="20"/>
        <v>n/a</v>
      </c>
      <c r="CJ29" s="69"/>
      <c r="CK29" s="69"/>
      <c r="CL29" s="69"/>
      <c r="CM29" s="70" t="str">
        <f t="shared" si="21"/>
        <v>n/a</v>
      </c>
      <c r="CN29" s="67"/>
      <c r="CO29" s="67"/>
      <c r="CP29" s="67"/>
      <c r="CQ29" s="68" t="str">
        <f t="shared" si="22"/>
        <v>n/a</v>
      </c>
      <c r="CR29" s="69"/>
      <c r="CS29" s="69"/>
      <c r="CT29" s="69"/>
      <c r="CU29" s="70" t="str">
        <f t="shared" si="23"/>
        <v>n/a</v>
      </c>
      <c r="CV29" s="67"/>
      <c r="CW29" s="67"/>
      <c r="CX29" s="67"/>
      <c r="CY29" s="68" t="str">
        <f t="shared" si="24"/>
        <v>n/a</v>
      </c>
      <c r="CZ29" s="69"/>
      <c r="DA29" s="69"/>
      <c r="DB29" s="69"/>
      <c r="DC29" s="70" t="str">
        <f t="shared" si="25"/>
        <v>n/a</v>
      </c>
      <c r="DD29" s="67"/>
      <c r="DE29" s="67"/>
      <c r="DF29" s="67"/>
      <c r="DG29" s="68" t="str">
        <f t="shared" si="26"/>
        <v>n/a</v>
      </c>
      <c r="DH29" s="69"/>
      <c r="DI29" s="69"/>
      <c r="DJ29" s="69"/>
      <c r="DK29" s="70" t="str">
        <f t="shared" si="27"/>
        <v>n/a</v>
      </c>
      <c r="DL29" s="67"/>
      <c r="DM29" s="67"/>
      <c r="DN29" s="67"/>
      <c r="DO29" s="68" t="str">
        <f t="shared" si="28"/>
        <v>n/a</v>
      </c>
      <c r="DP29" s="69"/>
      <c r="DQ29" s="69"/>
      <c r="DR29" s="69"/>
      <c r="DS29" s="70" t="str">
        <f t="shared" si="29"/>
        <v>n/a</v>
      </c>
      <c r="DT29" s="66" t="str">
        <f t="shared" si="30"/>
        <v>n/a</v>
      </c>
      <c r="DU29" s="66" t="str">
        <f t="shared" si="31"/>
        <v>n/a</v>
      </c>
    </row>
    <row r="30" spans="1:125" s="40" customFormat="1" ht="31" customHeight="1" x14ac:dyDescent="0.25">
      <c r="A30" s="66"/>
      <c r="B30" s="66"/>
      <c r="C30" s="66"/>
      <c r="D30" s="67"/>
      <c r="E30" s="67"/>
      <c r="F30" s="67"/>
      <c r="G30" s="68" t="str">
        <f t="shared" si="0"/>
        <v>n/a</v>
      </c>
      <c r="H30" s="69"/>
      <c r="I30" s="69"/>
      <c r="J30" s="69"/>
      <c r="K30" s="70" t="str">
        <f t="shared" si="1"/>
        <v>n/a</v>
      </c>
      <c r="L30" s="67"/>
      <c r="M30" s="67"/>
      <c r="N30" s="67"/>
      <c r="O30" s="68" t="str">
        <f t="shared" si="2"/>
        <v>n/a</v>
      </c>
      <c r="P30" s="69"/>
      <c r="Q30" s="69"/>
      <c r="R30" s="69"/>
      <c r="S30" s="70" t="str">
        <f t="shared" si="3"/>
        <v>n/a</v>
      </c>
      <c r="T30" s="67"/>
      <c r="U30" s="67"/>
      <c r="V30" s="67"/>
      <c r="W30" s="68" t="str">
        <f t="shared" si="4"/>
        <v>n/a</v>
      </c>
      <c r="X30" s="69"/>
      <c r="Y30" s="69"/>
      <c r="Z30" s="69"/>
      <c r="AA30" s="70" t="str">
        <f t="shared" si="5"/>
        <v>n/a</v>
      </c>
      <c r="AB30" s="67"/>
      <c r="AC30" s="67"/>
      <c r="AD30" s="67"/>
      <c r="AE30" s="68" t="str">
        <f t="shared" si="6"/>
        <v>n/a</v>
      </c>
      <c r="AF30" s="69"/>
      <c r="AG30" s="69"/>
      <c r="AH30" s="69"/>
      <c r="AI30" s="70" t="str">
        <f t="shared" si="7"/>
        <v>n/a</v>
      </c>
      <c r="AJ30" s="67"/>
      <c r="AK30" s="67"/>
      <c r="AL30" s="67"/>
      <c r="AM30" s="68" t="str">
        <f t="shared" si="8"/>
        <v>n/a</v>
      </c>
      <c r="AN30" s="69"/>
      <c r="AO30" s="69"/>
      <c r="AP30" s="69"/>
      <c r="AQ30" s="70" t="str">
        <f t="shared" si="9"/>
        <v>n/a</v>
      </c>
      <c r="AR30" s="67"/>
      <c r="AS30" s="67"/>
      <c r="AT30" s="67"/>
      <c r="AU30" s="68" t="str">
        <f t="shared" si="10"/>
        <v>n/a</v>
      </c>
      <c r="AV30" s="69"/>
      <c r="AW30" s="69"/>
      <c r="AX30" s="69"/>
      <c r="AY30" s="70" t="str">
        <f t="shared" si="11"/>
        <v>n/a</v>
      </c>
      <c r="AZ30" s="67"/>
      <c r="BA30" s="67"/>
      <c r="BB30" s="67"/>
      <c r="BC30" s="68" t="str">
        <f t="shared" si="12"/>
        <v>n/a</v>
      </c>
      <c r="BD30" s="69"/>
      <c r="BE30" s="69"/>
      <c r="BF30" s="69"/>
      <c r="BG30" s="70" t="str">
        <f t="shared" si="13"/>
        <v>n/a</v>
      </c>
      <c r="BH30" s="67"/>
      <c r="BI30" s="67"/>
      <c r="BJ30" s="67"/>
      <c r="BK30" s="68" t="str">
        <f t="shared" si="14"/>
        <v>n/a</v>
      </c>
      <c r="BL30" s="69"/>
      <c r="BM30" s="69"/>
      <c r="BN30" s="69"/>
      <c r="BO30" s="70" t="str">
        <f t="shared" si="15"/>
        <v>n/a</v>
      </c>
      <c r="BP30" s="67"/>
      <c r="BQ30" s="67"/>
      <c r="BR30" s="67"/>
      <c r="BS30" s="68" t="str">
        <f t="shared" si="16"/>
        <v>n/a</v>
      </c>
      <c r="BT30" s="69"/>
      <c r="BU30" s="69"/>
      <c r="BV30" s="69"/>
      <c r="BW30" s="70" t="str">
        <f t="shared" si="17"/>
        <v>n/a</v>
      </c>
      <c r="BX30" s="67"/>
      <c r="BY30" s="67"/>
      <c r="BZ30" s="67"/>
      <c r="CA30" s="68" t="str">
        <f t="shared" si="18"/>
        <v>n/a</v>
      </c>
      <c r="CB30" s="69"/>
      <c r="CC30" s="69"/>
      <c r="CD30" s="69"/>
      <c r="CE30" s="70" t="str">
        <f t="shared" si="19"/>
        <v>n/a</v>
      </c>
      <c r="CF30" s="67"/>
      <c r="CG30" s="67"/>
      <c r="CH30" s="67"/>
      <c r="CI30" s="68" t="str">
        <f t="shared" si="20"/>
        <v>n/a</v>
      </c>
      <c r="CJ30" s="69"/>
      <c r="CK30" s="69"/>
      <c r="CL30" s="69"/>
      <c r="CM30" s="70" t="str">
        <f t="shared" si="21"/>
        <v>n/a</v>
      </c>
      <c r="CN30" s="67"/>
      <c r="CO30" s="67"/>
      <c r="CP30" s="67"/>
      <c r="CQ30" s="68" t="str">
        <f t="shared" si="22"/>
        <v>n/a</v>
      </c>
      <c r="CR30" s="69"/>
      <c r="CS30" s="69"/>
      <c r="CT30" s="69"/>
      <c r="CU30" s="70" t="str">
        <f t="shared" si="23"/>
        <v>n/a</v>
      </c>
      <c r="CV30" s="67"/>
      <c r="CW30" s="67"/>
      <c r="CX30" s="67"/>
      <c r="CY30" s="68" t="str">
        <f t="shared" si="24"/>
        <v>n/a</v>
      </c>
      <c r="CZ30" s="69"/>
      <c r="DA30" s="69"/>
      <c r="DB30" s="69"/>
      <c r="DC30" s="70" t="str">
        <f t="shared" si="25"/>
        <v>n/a</v>
      </c>
      <c r="DD30" s="67"/>
      <c r="DE30" s="67"/>
      <c r="DF30" s="67"/>
      <c r="DG30" s="68" t="str">
        <f t="shared" si="26"/>
        <v>n/a</v>
      </c>
      <c r="DH30" s="69"/>
      <c r="DI30" s="69"/>
      <c r="DJ30" s="69"/>
      <c r="DK30" s="70" t="str">
        <f t="shared" si="27"/>
        <v>n/a</v>
      </c>
      <c r="DL30" s="67"/>
      <c r="DM30" s="67"/>
      <c r="DN30" s="67"/>
      <c r="DO30" s="68" t="str">
        <f t="shared" si="28"/>
        <v>n/a</v>
      </c>
      <c r="DP30" s="69"/>
      <c r="DQ30" s="69"/>
      <c r="DR30" s="69"/>
      <c r="DS30" s="70" t="str">
        <f t="shared" si="29"/>
        <v>n/a</v>
      </c>
      <c r="DT30" s="66" t="str">
        <f t="shared" si="30"/>
        <v>n/a</v>
      </c>
      <c r="DU30" s="66" t="str">
        <f t="shared" si="31"/>
        <v>n/a</v>
      </c>
    </row>
    <row r="31" spans="1:125" s="40" customFormat="1" ht="31" customHeight="1" x14ac:dyDescent="0.25">
      <c r="A31" s="66"/>
      <c r="B31" s="66"/>
      <c r="C31" s="66"/>
      <c r="D31" s="67"/>
      <c r="E31" s="67"/>
      <c r="F31" s="67"/>
      <c r="G31" s="68" t="str">
        <f t="shared" si="0"/>
        <v>n/a</v>
      </c>
      <c r="H31" s="69"/>
      <c r="I31" s="69"/>
      <c r="J31" s="69"/>
      <c r="K31" s="70" t="str">
        <f t="shared" si="1"/>
        <v>n/a</v>
      </c>
      <c r="L31" s="67"/>
      <c r="M31" s="67"/>
      <c r="N31" s="67"/>
      <c r="O31" s="68" t="str">
        <f t="shared" si="2"/>
        <v>n/a</v>
      </c>
      <c r="P31" s="69"/>
      <c r="Q31" s="69"/>
      <c r="R31" s="69"/>
      <c r="S31" s="70" t="str">
        <f t="shared" si="3"/>
        <v>n/a</v>
      </c>
      <c r="T31" s="67"/>
      <c r="U31" s="67"/>
      <c r="V31" s="67"/>
      <c r="W31" s="68" t="str">
        <f t="shared" si="4"/>
        <v>n/a</v>
      </c>
      <c r="X31" s="69"/>
      <c r="Y31" s="69"/>
      <c r="Z31" s="69"/>
      <c r="AA31" s="70" t="str">
        <f t="shared" si="5"/>
        <v>n/a</v>
      </c>
      <c r="AB31" s="67"/>
      <c r="AC31" s="67"/>
      <c r="AD31" s="67"/>
      <c r="AE31" s="68" t="str">
        <f t="shared" si="6"/>
        <v>n/a</v>
      </c>
      <c r="AF31" s="69"/>
      <c r="AG31" s="69"/>
      <c r="AH31" s="69"/>
      <c r="AI31" s="70" t="str">
        <f t="shared" si="7"/>
        <v>n/a</v>
      </c>
      <c r="AJ31" s="67"/>
      <c r="AK31" s="67"/>
      <c r="AL31" s="67"/>
      <c r="AM31" s="68" t="str">
        <f t="shared" si="8"/>
        <v>n/a</v>
      </c>
      <c r="AN31" s="69"/>
      <c r="AO31" s="69"/>
      <c r="AP31" s="69"/>
      <c r="AQ31" s="70" t="str">
        <f t="shared" si="9"/>
        <v>n/a</v>
      </c>
      <c r="AR31" s="67"/>
      <c r="AS31" s="67"/>
      <c r="AT31" s="67"/>
      <c r="AU31" s="68" t="str">
        <f t="shared" si="10"/>
        <v>n/a</v>
      </c>
      <c r="AV31" s="69"/>
      <c r="AW31" s="69"/>
      <c r="AX31" s="69"/>
      <c r="AY31" s="70" t="str">
        <f t="shared" si="11"/>
        <v>n/a</v>
      </c>
      <c r="AZ31" s="67"/>
      <c r="BA31" s="67"/>
      <c r="BB31" s="67"/>
      <c r="BC31" s="68" t="str">
        <f t="shared" si="12"/>
        <v>n/a</v>
      </c>
      <c r="BD31" s="69"/>
      <c r="BE31" s="69"/>
      <c r="BF31" s="69"/>
      <c r="BG31" s="70" t="str">
        <f t="shared" si="13"/>
        <v>n/a</v>
      </c>
      <c r="BH31" s="67"/>
      <c r="BI31" s="67"/>
      <c r="BJ31" s="67"/>
      <c r="BK31" s="68" t="str">
        <f t="shared" si="14"/>
        <v>n/a</v>
      </c>
      <c r="BL31" s="69"/>
      <c r="BM31" s="69"/>
      <c r="BN31" s="69"/>
      <c r="BO31" s="70" t="str">
        <f t="shared" si="15"/>
        <v>n/a</v>
      </c>
      <c r="BP31" s="67"/>
      <c r="BQ31" s="67"/>
      <c r="BR31" s="67"/>
      <c r="BS31" s="68" t="str">
        <f t="shared" si="16"/>
        <v>n/a</v>
      </c>
      <c r="BT31" s="69"/>
      <c r="BU31" s="69"/>
      <c r="BV31" s="69"/>
      <c r="BW31" s="70" t="str">
        <f t="shared" si="17"/>
        <v>n/a</v>
      </c>
      <c r="BX31" s="67"/>
      <c r="BY31" s="67"/>
      <c r="BZ31" s="67"/>
      <c r="CA31" s="68" t="str">
        <f t="shared" si="18"/>
        <v>n/a</v>
      </c>
      <c r="CB31" s="69"/>
      <c r="CC31" s="69"/>
      <c r="CD31" s="69"/>
      <c r="CE31" s="70" t="str">
        <f t="shared" si="19"/>
        <v>n/a</v>
      </c>
      <c r="CF31" s="67"/>
      <c r="CG31" s="67"/>
      <c r="CH31" s="67"/>
      <c r="CI31" s="68" t="str">
        <f t="shared" si="20"/>
        <v>n/a</v>
      </c>
      <c r="CJ31" s="69"/>
      <c r="CK31" s="69"/>
      <c r="CL31" s="69"/>
      <c r="CM31" s="70" t="str">
        <f t="shared" si="21"/>
        <v>n/a</v>
      </c>
      <c r="CN31" s="67"/>
      <c r="CO31" s="67"/>
      <c r="CP31" s="67"/>
      <c r="CQ31" s="68" t="str">
        <f t="shared" si="22"/>
        <v>n/a</v>
      </c>
      <c r="CR31" s="69"/>
      <c r="CS31" s="69"/>
      <c r="CT31" s="69"/>
      <c r="CU31" s="70" t="str">
        <f t="shared" si="23"/>
        <v>n/a</v>
      </c>
      <c r="CV31" s="67"/>
      <c r="CW31" s="67"/>
      <c r="CX31" s="67"/>
      <c r="CY31" s="68" t="str">
        <f t="shared" si="24"/>
        <v>n/a</v>
      </c>
      <c r="CZ31" s="69"/>
      <c r="DA31" s="69"/>
      <c r="DB31" s="69"/>
      <c r="DC31" s="70" t="str">
        <f t="shared" si="25"/>
        <v>n/a</v>
      </c>
      <c r="DD31" s="67"/>
      <c r="DE31" s="67"/>
      <c r="DF31" s="67"/>
      <c r="DG31" s="68" t="str">
        <f t="shared" si="26"/>
        <v>n/a</v>
      </c>
      <c r="DH31" s="69"/>
      <c r="DI31" s="69"/>
      <c r="DJ31" s="69"/>
      <c r="DK31" s="70" t="str">
        <f t="shared" si="27"/>
        <v>n/a</v>
      </c>
      <c r="DL31" s="67"/>
      <c r="DM31" s="67"/>
      <c r="DN31" s="67"/>
      <c r="DO31" s="68" t="str">
        <f t="shared" si="28"/>
        <v>n/a</v>
      </c>
      <c r="DP31" s="69"/>
      <c r="DQ31" s="69"/>
      <c r="DR31" s="69"/>
      <c r="DS31" s="70" t="str">
        <f t="shared" si="29"/>
        <v>n/a</v>
      </c>
      <c r="DT31" s="66" t="str">
        <f t="shared" si="30"/>
        <v>n/a</v>
      </c>
      <c r="DU31" s="66" t="str">
        <f t="shared" si="31"/>
        <v>n/a</v>
      </c>
    </row>
    <row r="32" spans="1:125" s="40" customFormat="1" ht="31" customHeight="1" x14ac:dyDescent="0.25">
      <c r="A32" s="66"/>
      <c r="B32" s="66"/>
      <c r="C32" s="66"/>
      <c r="D32" s="67"/>
      <c r="E32" s="67"/>
      <c r="F32" s="67"/>
      <c r="G32" s="68" t="str">
        <f t="shared" si="0"/>
        <v>n/a</v>
      </c>
      <c r="H32" s="69"/>
      <c r="I32" s="69"/>
      <c r="J32" s="69"/>
      <c r="K32" s="70" t="str">
        <f t="shared" si="1"/>
        <v>n/a</v>
      </c>
      <c r="L32" s="67"/>
      <c r="M32" s="67"/>
      <c r="N32" s="67"/>
      <c r="O32" s="68" t="str">
        <f t="shared" si="2"/>
        <v>n/a</v>
      </c>
      <c r="P32" s="69"/>
      <c r="Q32" s="69"/>
      <c r="R32" s="69"/>
      <c r="S32" s="70" t="str">
        <f t="shared" si="3"/>
        <v>n/a</v>
      </c>
      <c r="T32" s="67"/>
      <c r="U32" s="67"/>
      <c r="V32" s="67"/>
      <c r="W32" s="68" t="str">
        <f t="shared" si="4"/>
        <v>n/a</v>
      </c>
      <c r="X32" s="69"/>
      <c r="Y32" s="69"/>
      <c r="Z32" s="69"/>
      <c r="AA32" s="70" t="str">
        <f t="shared" si="5"/>
        <v>n/a</v>
      </c>
      <c r="AB32" s="67"/>
      <c r="AC32" s="67"/>
      <c r="AD32" s="67"/>
      <c r="AE32" s="68" t="str">
        <f t="shared" si="6"/>
        <v>n/a</v>
      </c>
      <c r="AF32" s="69"/>
      <c r="AG32" s="69"/>
      <c r="AH32" s="69"/>
      <c r="AI32" s="70" t="str">
        <f t="shared" si="7"/>
        <v>n/a</v>
      </c>
      <c r="AJ32" s="67"/>
      <c r="AK32" s="67"/>
      <c r="AL32" s="67"/>
      <c r="AM32" s="68" t="str">
        <f t="shared" si="8"/>
        <v>n/a</v>
      </c>
      <c r="AN32" s="69"/>
      <c r="AO32" s="69"/>
      <c r="AP32" s="69"/>
      <c r="AQ32" s="70" t="str">
        <f t="shared" si="9"/>
        <v>n/a</v>
      </c>
      <c r="AR32" s="67"/>
      <c r="AS32" s="67"/>
      <c r="AT32" s="67"/>
      <c r="AU32" s="68" t="str">
        <f t="shared" si="10"/>
        <v>n/a</v>
      </c>
      <c r="AV32" s="69"/>
      <c r="AW32" s="69"/>
      <c r="AX32" s="69"/>
      <c r="AY32" s="70" t="str">
        <f t="shared" si="11"/>
        <v>n/a</v>
      </c>
      <c r="AZ32" s="67"/>
      <c r="BA32" s="67"/>
      <c r="BB32" s="67"/>
      <c r="BC32" s="68" t="str">
        <f t="shared" si="12"/>
        <v>n/a</v>
      </c>
      <c r="BD32" s="69"/>
      <c r="BE32" s="69"/>
      <c r="BF32" s="69"/>
      <c r="BG32" s="70" t="str">
        <f t="shared" si="13"/>
        <v>n/a</v>
      </c>
      <c r="BH32" s="67"/>
      <c r="BI32" s="67"/>
      <c r="BJ32" s="67"/>
      <c r="BK32" s="68" t="str">
        <f t="shared" si="14"/>
        <v>n/a</v>
      </c>
      <c r="BL32" s="69"/>
      <c r="BM32" s="69"/>
      <c r="BN32" s="69"/>
      <c r="BO32" s="70" t="str">
        <f t="shared" si="15"/>
        <v>n/a</v>
      </c>
      <c r="BP32" s="67"/>
      <c r="BQ32" s="67"/>
      <c r="BR32" s="67"/>
      <c r="BS32" s="68" t="str">
        <f t="shared" si="16"/>
        <v>n/a</v>
      </c>
      <c r="BT32" s="69"/>
      <c r="BU32" s="69"/>
      <c r="BV32" s="69"/>
      <c r="BW32" s="70" t="str">
        <f t="shared" si="17"/>
        <v>n/a</v>
      </c>
      <c r="BX32" s="67"/>
      <c r="BY32" s="67"/>
      <c r="BZ32" s="67"/>
      <c r="CA32" s="68" t="str">
        <f t="shared" si="18"/>
        <v>n/a</v>
      </c>
      <c r="CB32" s="69"/>
      <c r="CC32" s="69"/>
      <c r="CD32" s="69"/>
      <c r="CE32" s="70" t="str">
        <f t="shared" si="19"/>
        <v>n/a</v>
      </c>
      <c r="CF32" s="67"/>
      <c r="CG32" s="67"/>
      <c r="CH32" s="67"/>
      <c r="CI32" s="68" t="str">
        <f t="shared" si="20"/>
        <v>n/a</v>
      </c>
      <c r="CJ32" s="69"/>
      <c r="CK32" s="69"/>
      <c r="CL32" s="69"/>
      <c r="CM32" s="70" t="str">
        <f t="shared" si="21"/>
        <v>n/a</v>
      </c>
      <c r="CN32" s="67"/>
      <c r="CO32" s="67"/>
      <c r="CP32" s="67"/>
      <c r="CQ32" s="68" t="str">
        <f t="shared" si="22"/>
        <v>n/a</v>
      </c>
      <c r="CR32" s="69"/>
      <c r="CS32" s="69"/>
      <c r="CT32" s="69"/>
      <c r="CU32" s="70" t="str">
        <f t="shared" si="23"/>
        <v>n/a</v>
      </c>
      <c r="CV32" s="67"/>
      <c r="CW32" s="67"/>
      <c r="CX32" s="67"/>
      <c r="CY32" s="68" t="str">
        <f t="shared" si="24"/>
        <v>n/a</v>
      </c>
      <c r="CZ32" s="69"/>
      <c r="DA32" s="69"/>
      <c r="DB32" s="69"/>
      <c r="DC32" s="70" t="str">
        <f t="shared" si="25"/>
        <v>n/a</v>
      </c>
      <c r="DD32" s="67"/>
      <c r="DE32" s="67"/>
      <c r="DF32" s="67"/>
      <c r="DG32" s="68" t="str">
        <f t="shared" si="26"/>
        <v>n/a</v>
      </c>
      <c r="DH32" s="69"/>
      <c r="DI32" s="69"/>
      <c r="DJ32" s="69"/>
      <c r="DK32" s="70" t="str">
        <f t="shared" si="27"/>
        <v>n/a</v>
      </c>
      <c r="DL32" s="67"/>
      <c r="DM32" s="67"/>
      <c r="DN32" s="67"/>
      <c r="DO32" s="68" t="str">
        <f t="shared" si="28"/>
        <v>n/a</v>
      </c>
      <c r="DP32" s="69"/>
      <c r="DQ32" s="69"/>
      <c r="DR32" s="69"/>
      <c r="DS32" s="70" t="str">
        <f t="shared" si="29"/>
        <v>n/a</v>
      </c>
      <c r="DT32" s="66" t="str">
        <f t="shared" si="30"/>
        <v>n/a</v>
      </c>
      <c r="DU32" s="66" t="str">
        <f t="shared" si="31"/>
        <v>n/a</v>
      </c>
    </row>
  </sheetData>
  <mergeCells count="5">
    <mergeCell ref="A1:C1"/>
    <mergeCell ref="A4:C4"/>
    <mergeCell ref="A5:C5"/>
    <mergeCell ref="A6:C6"/>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969C-C194-4D4E-809D-5F47098CE9B9}">
  <dimension ref="A1:AR395"/>
  <sheetViews>
    <sheetView showGridLines="0" zoomScale="80" zoomScaleNormal="80" workbookViewId="0">
      <pane xSplit="2" topLeftCell="C1" activePane="topRight" state="frozen"/>
      <selection pane="topRight" activeCell="A6" sqref="A6:B6"/>
    </sheetView>
  </sheetViews>
  <sheetFormatPr defaultColWidth="0" defaultRowHeight="15.5" zeroHeight="1" x14ac:dyDescent="0.25"/>
  <cols>
    <col min="1" max="1" width="66.81640625" style="295" bestFit="1" customWidth="1"/>
    <col min="2" max="2" width="11" style="295" customWidth="1"/>
    <col min="3" max="32" width="15.7265625" style="295" customWidth="1"/>
    <col min="33" max="16384" width="8.7265625" style="295" hidden="1"/>
  </cols>
  <sheetData>
    <row r="1" spans="1:33" s="276" customFormat="1" ht="63" customHeight="1" x14ac:dyDescent="0.25">
      <c r="A1" s="275" t="s">
        <v>943</v>
      </c>
      <c r="B1" s="275"/>
    </row>
    <row r="2" spans="1:33" s="281" customFormat="1" ht="30" customHeight="1" thickBot="1" x14ac:dyDescent="0.4">
      <c r="A2" s="277" t="s">
        <v>117</v>
      </c>
      <c r="B2" s="278"/>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80"/>
    </row>
    <row r="3" spans="1:33" s="284" customFormat="1" ht="31" customHeight="1" thickTop="1" x14ac:dyDescent="0.25">
      <c r="A3" s="282" t="s">
        <v>1</v>
      </c>
      <c r="B3" s="282"/>
      <c r="C3" s="283">
        <v>1</v>
      </c>
      <c r="D3" s="283">
        <v>2</v>
      </c>
      <c r="E3" s="283">
        <v>3</v>
      </c>
      <c r="F3" s="283">
        <v>4</v>
      </c>
      <c r="G3" s="283">
        <v>5</v>
      </c>
      <c r="H3" s="283">
        <v>6</v>
      </c>
      <c r="I3" s="283">
        <v>7</v>
      </c>
      <c r="J3" s="283">
        <v>8</v>
      </c>
      <c r="K3" s="283">
        <v>9</v>
      </c>
      <c r="L3" s="283">
        <v>10</v>
      </c>
      <c r="M3" s="283">
        <v>11</v>
      </c>
      <c r="N3" s="283">
        <v>12</v>
      </c>
      <c r="O3" s="283">
        <v>13</v>
      </c>
      <c r="P3" s="283">
        <v>14</v>
      </c>
      <c r="Q3" s="283">
        <v>15</v>
      </c>
      <c r="R3" s="283">
        <v>16</v>
      </c>
      <c r="S3" s="283">
        <v>17</v>
      </c>
      <c r="T3" s="283">
        <v>18</v>
      </c>
      <c r="U3" s="283">
        <v>19</v>
      </c>
      <c r="V3" s="283">
        <v>20</v>
      </c>
      <c r="W3" s="283">
        <v>21</v>
      </c>
      <c r="X3" s="283">
        <v>22</v>
      </c>
      <c r="Y3" s="283">
        <v>23</v>
      </c>
      <c r="Z3" s="283">
        <v>24</v>
      </c>
      <c r="AA3" s="283">
        <v>25</v>
      </c>
      <c r="AB3" s="283">
        <v>26</v>
      </c>
      <c r="AC3" s="283">
        <v>27</v>
      </c>
      <c r="AD3" s="283">
        <v>28</v>
      </c>
      <c r="AE3" s="283">
        <v>29</v>
      </c>
      <c r="AF3" s="283">
        <v>30</v>
      </c>
    </row>
    <row r="4" spans="1:33" s="286" customFormat="1" ht="31" customHeight="1" x14ac:dyDescent="0.35">
      <c r="A4" s="285" t="s">
        <v>8</v>
      </c>
      <c r="B4" s="285"/>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row>
    <row r="5" spans="1:33" s="286" customFormat="1" ht="31" customHeight="1" x14ac:dyDescent="0.35">
      <c r="A5" s="285" t="s">
        <v>9</v>
      </c>
      <c r="B5" s="285"/>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row>
    <row r="6" spans="1:33" s="288" customFormat="1" ht="31" customHeight="1" x14ac:dyDescent="0.35">
      <c r="A6" s="285" t="s">
        <v>10</v>
      </c>
      <c r="B6" s="285"/>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row>
    <row r="7" spans="1:33" s="298" customFormat="1" ht="31" customHeight="1" x14ac:dyDescent="0.35">
      <c r="A7" s="296" t="s">
        <v>118</v>
      </c>
      <c r="B7" s="296" t="s">
        <v>119</v>
      </c>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row>
    <row r="8" spans="1:33" s="301" customFormat="1" ht="31" customHeight="1" x14ac:dyDescent="0.25">
      <c r="A8" s="299" t="s">
        <v>120</v>
      </c>
      <c r="B8" s="299" t="s">
        <v>121</v>
      </c>
      <c r="C8" s="300" t="e">
        <f>C225/C259*0.7457</f>
        <v>#DIV/0!</v>
      </c>
      <c r="D8" s="300" t="e">
        <f t="shared" ref="D8:Q8" si="0">D225/D259*0.7457</f>
        <v>#DIV/0!</v>
      </c>
      <c r="E8" s="300" t="e">
        <f t="shared" si="0"/>
        <v>#DIV/0!</v>
      </c>
      <c r="F8" s="300" t="e">
        <f t="shared" si="0"/>
        <v>#DIV/0!</v>
      </c>
      <c r="G8" s="300" t="e">
        <f t="shared" si="0"/>
        <v>#DIV/0!</v>
      </c>
      <c r="H8" s="300" t="e">
        <f t="shared" si="0"/>
        <v>#DIV/0!</v>
      </c>
      <c r="I8" s="300" t="e">
        <f t="shared" si="0"/>
        <v>#DIV/0!</v>
      </c>
      <c r="J8" s="300" t="e">
        <f t="shared" si="0"/>
        <v>#DIV/0!</v>
      </c>
      <c r="K8" s="300" t="e">
        <f t="shared" si="0"/>
        <v>#DIV/0!</v>
      </c>
      <c r="L8" s="300" t="e">
        <f t="shared" si="0"/>
        <v>#DIV/0!</v>
      </c>
      <c r="M8" s="300" t="e">
        <f t="shared" si="0"/>
        <v>#DIV/0!</v>
      </c>
      <c r="N8" s="300" t="e">
        <f t="shared" si="0"/>
        <v>#DIV/0!</v>
      </c>
      <c r="O8" s="300" t="e">
        <f t="shared" si="0"/>
        <v>#DIV/0!</v>
      </c>
      <c r="P8" s="300" t="e">
        <f t="shared" si="0"/>
        <v>#DIV/0!</v>
      </c>
      <c r="Q8" s="300" t="e">
        <f t="shared" si="0"/>
        <v>#DIV/0!</v>
      </c>
      <c r="R8" s="300" t="e">
        <f>R225/R259*0.7457</f>
        <v>#DIV/0!</v>
      </c>
      <c r="S8" s="300" t="e">
        <f t="shared" ref="S8:AF8" si="1">S225/S259*0.7457</f>
        <v>#DIV/0!</v>
      </c>
      <c r="T8" s="300" t="e">
        <f t="shared" si="1"/>
        <v>#DIV/0!</v>
      </c>
      <c r="U8" s="300" t="e">
        <f t="shared" si="1"/>
        <v>#DIV/0!</v>
      </c>
      <c r="V8" s="300" t="e">
        <f t="shared" si="1"/>
        <v>#DIV/0!</v>
      </c>
      <c r="W8" s="300" t="e">
        <f t="shared" si="1"/>
        <v>#DIV/0!</v>
      </c>
      <c r="X8" s="300" t="e">
        <f t="shared" si="1"/>
        <v>#DIV/0!</v>
      </c>
      <c r="Y8" s="300" t="e">
        <f t="shared" si="1"/>
        <v>#DIV/0!</v>
      </c>
      <c r="Z8" s="300" t="e">
        <f t="shared" si="1"/>
        <v>#DIV/0!</v>
      </c>
      <c r="AA8" s="300" t="e">
        <f t="shared" si="1"/>
        <v>#DIV/0!</v>
      </c>
      <c r="AB8" s="300" t="e">
        <f t="shared" si="1"/>
        <v>#DIV/0!</v>
      </c>
      <c r="AC8" s="300" t="e">
        <f t="shared" si="1"/>
        <v>#DIV/0!</v>
      </c>
      <c r="AD8" s="300" t="e">
        <f t="shared" si="1"/>
        <v>#DIV/0!</v>
      </c>
      <c r="AE8" s="300" t="e">
        <f t="shared" si="1"/>
        <v>#DIV/0!</v>
      </c>
      <c r="AF8" s="300" t="e">
        <f t="shared" si="1"/>
        <v>#DIV/0!</v>
      </c>
    </row>
    <row r="9" spans="1:33" s="301" customFormat="1" ht="31" customHeight="1" x14ac:dyDescent="0.25">
      <c r="A9" s="299" t="s">
        <v>122</v>
      </c>
      <c r="B9" s="299" t="s">
        <v>121</v>
      </c>
      <c r="C9" s="300" t="e">
        <f>C242/C259*0.7457</f>
        <v>#DIV/0!</v>
      </c>
      <c r="D9" s="300" t="e">
        <f t="shared" ref="D9:Q9" si="2">D242/D259*0.7457</f>
        <v>#DIV/0!</v>
      </c>
      <c r="E9" s="300" t="e">
        <f t="shared" si="2"/>
        <v>#DIV/0!</v>
      </c>
      <c r="F9" s="300" t="e">
        <f t="shared" si="2"/>
        <v>#DIV/0!</v>
      </c>
      <c r="G9" s="300" t="e">
        <f t="shared" si="2"/>
        <v>#DIV/0!</v>
      </c>
      <c r="H9" s="300" t="e">
        <f t="shared" si="2"/>
        <v>#DIV/0!</v>
      </c>
      <c r="I9" s="300" t="e">
        <f t="shared" si="2"/>
        <v>#DIV/0!</v>
      </c>
      <c r="J9" s="300" t="e">
        <f t="shared" si="2"/>
        <v>#DIV/0!</v>
      </c>
      <c r="K9" s="300" t="e">
        <f t="shared" si="2"/>
        <v>#DIV/0!</v>
      </c>
      <c r="L9" s="300" t="e">
        <f t="shared" si="2"/>
        <v>#DIV/0!</v>
      </c>
      <c r="M9" s="300" t="e">
        <f t="shared" si="2"/>
        <v>#DIV/0!</v>
      </c>
      <c r="N9" s="300" t="e">
        <f t="shared" si="2"/>
        <v>#DIV/0!</v>
      </c>
      <c r="O9" s="300" t="e">
        <f t="shared" si="2"/>
        <v>#DIV/0!</v>
      </c>
      <c r="P9" s="300" t="e">
        <f t="shared" si="2"/>
        <v>#DIV/0!</v>
      </c>
      <c r="Q9" s="300" t="e">
        <f t="shared" si="2"/>
        <v>#DIV/0!</v>
      </c>
      <c r="R9" s="300" t="e">
        <f>R242/R259*0.7457</f>
        <v>#DIV/0!</v>
      </c>
      <c r="S9" s="300" t="e">
        <f t="shared" ref="S9:AF9" si="3">S242/S259*0.7457</f>
        <v>#DIV/0!</v>
      </c>
      <c r="T9" s="300" t="e">
        <f t="shared" si="3"/>
        <v>#DIV/0!</v>
      </c>
      <c r="U9" s="300" t="e">
        <f t="shared" si="3"/>
        <v>#DIV/0!</v>
      </c>
      <c r="V9" s="300" t="e">
        <f t="shared" si="3"/>
        <v>#DIV/0!</v>
      </c>
      <c r="W9" s="300" t="e">
        <f t="shared" si="3"/>
        <v>#DIV/0!</v>
      </c>
      <c r="X9" s="300" t="e">
        <f t="shared" si="3"/>
        <v>#DIV/0!</v>
      </c>
      <c r="Y9" s="300" t="e">
        <f t="shared" si="3"/>
        <v>#DIV/0!</v>
      </c>
      <c r="Z9" s="300" t="e">
        <f t="shared" si="3"/>
        <v>#DIV/0!</v>
      </c>
      <c r="AA9" s="300" t="e">
        <f t="shared" si="3"/>
        <v>#DIV/0!</v>
      </c>
      <c r="AB9" s="300" t="e">
        <f t="shared" si="3"/>
        <v>#DIV/0!</v>
      </c>
      <c r="AC9" s="300" t="e">
        <f t="shared" si="3"/>
        <v>#DIV/0!</v>
      </c>
      <c r="AD9" s="300" t="e">
        <f t="shared" si="3"/>
        <v>#DIV/0!</v>
      </c>
      <c r="AE9" s="300" t="e">
        <f t="shared" si="3"/>
        <v>#DIV/0!</v>
      </c>
      <c r="AF9" s="300" t="e">
        <f t="shared" si="3"/>
        <v>#DIV/0!</v>
      </c>
    </row>
    <row r="10" spans="1:33" s="301" customFormat="1" ht="31" customHeight="1" x14ac:dyDescent="0.25">
      <c r="A10" s="299" t="s">
        <v>123</v>
      </c>
      <c r="B10" s="299" t="s">
        <v>124</v>
      </c>
      <c r="C10" s="302" t="e">
        <f>(C8-C9)/C8</f>
        <v>#DIV/0!</v>
      </c>
      <c r="D10" s="302" t="e">
        <f t="shared" ref="D10:Q10" si="4">(D8-D9)/D8</f>
        <v>#DIV/0!</v>
      </c>
      <c r="E10" s="302" t="e">
        <f t="shared" si="4"/>
        <v>#DIV/0!</v>
      </c>
      <c r="F10" s="302" t="e">
        <f t="shared" si="4"/>
        <v>#DIV/0!</v>
      </c>
      <c r="G10" s="302" t="e">
        <f t="shared" si="4"/>
        <v>#DIV/0!</v>
      </c>
      <c r="H10" s="302" t="e">
        <f t="shared" si="4"/>
        <v>#DIV/0!</v>
      </c>
      <c r="I10" s="302" t="e">
        <f t="shared" si="4"/>
        <v>#DIV/0!</v>
      </c>
      <c r="J10" s="302" t="e">
        <f t="shared" si="4"/>
        <v>#DIV/0!</v>
      </c>
      <c r="K10" s="302" t="e">
        <f t="shared" si="4"/>
        <v>#DIV/0!</v>
      </c>
      <c r="L10" s="302" t="e">
        <f t="shared" si="4"/>
        <v>#DIV/0!</v>
      </c>
      <c r="M10" s="302" t="e">
        <f t="shared" si="4"/>
        <v>#DIV/0!</v>
      </c>
      <c r="N10" s="302" t="e">
        <f t="shared" si="4"/>
        <v>#DIV/0!</v>
      </c>
      <c r="O10" s="302" t="e">
        <f t="shared" si="4"/>
        <v>#DIV/0!</v>
      </c>
      <c r="P10" s="302" t="e">
        <f t="shared" si="4"/>
        <v>#DIV/0!</v>
      </c>
      <c r="Q10" s="302" t="e">
        <f t="shared" si="4"/>
        <v>#DIV/0!</v>
      </c>
      <c r="R10" s="302" t="e">
        <f>(R8-R9)/R8</f>
        <v>#DIV/0!</v>
      </c>
      <c r="S10" s="302" t="e">
        <f t="shared" ref="S10:AF10" si="5">(S8-S9)/S8</f>
        <v>#DIV/0!</v>
      </c>
      <c r="T10" s="302" t="e">
        <f t="shared" si="5"/>
        <v>#DIV/0!</v>
      </c>
      <c r="U10" s="302" t="e">
        <f t="shared" si="5"/>
        <v>#DIV/0!</v>
      </c>
      <c r="V10" s="302" t="e">
        <f t="shared" si="5"/>
        <v>#DIV/0!</v>
      </c>
      <c r="W10" s="302" t="e">
        <f t="shared" si="5"/>
        <v>#DIV/0!</v>
      </c>
      <c r="X10" s="302" t="e">
        <f t="shared" si="5"/>
        <v>#DIV/0!</v>
      </c>
      <c r="Y10" s="302" t="e">
        <f t="shared" si="5"/>
        <v>#DIV/0!</v>
      </c>
      <c r="Z10" s="302" t="e">
        <f t="shared" si="5"/>
        <v>#DIV/0!</v>
      </c>
      <c r="AA10" s="302" t="e">
        <f t="shared" si="5"/>
        <v>#DIV/0!</v>
      </c>
      <c r="AB10" s="302" t="e">
        <f t="shared" si="5"/>
        <v>#DIV/0!</v>
      </c>
      <c r="AC10" s="302" t="e">
        <f t="shared" si="5"/>
        <v>#DIV/0!</v>
      </c>
      <c r="AD10" s="302" t="e">
        <f t="shared" si="5"/>
        <v>#DIV/0!</v>
      </c>
      <c r="AE10" s="302" t="e">
        <f t="shared" si="5"/>
        <v>#DIV/0!</v>
      </c>
      <c r="AF10" s="302" t="e">
        <f t="shared" si="5"/>
        <v>#DIV/0!</v>
      </c>
    </row>
    <row r="11" spans="1:33" s="301" customFormat="1" ht="31" customHeight="1" x14ac:dyDescent="0.25">
      <c r="A11" s="299"/>
      <c r="B11" s="299"/>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row>
    <row r="12" spans="1:33" s="301" customFormat="1" ht="31" customHeight="1" x14ac:dyDescent="0.25">
      <c r="A12" s="299" t="s">
        <v>125</v>
      </c>
      <c r="B12" s="299" t="s">
        <v>121</v>
      </c>
      <c r="C12" s="303" t="e">
        <f>C123/C157*0.7457</f>
        <v>#DIV/0!</v>
      </c>
      <c r="D12" s="303" t="e">
        <f t="shared" ref="D12:Q12" si="6">D123/D157*0.7457</f>
        <v>#DIV/0!</v>
      </c>
      <c r="E12" s="303" t="e">
        <f t="shared" si="6"/>
        <v>#DIV/0!</v>
      </c>
      <c r="F12" s="303" t="e">
        <f t="shared" si="6"/>
        <v>#DIV/0!</v>
      </c>
      <c r="G12" s="303" t="e">
        <f t="shared" si="6"/>
        <v>#DIV/0!</v>
      </c>
      <c r="H12" s="303" t="e">
        <f t="shared" si="6"/>
        <v>#DIV/0!</v>
      </c>
      <c r="I12" s="303" t="e">
        <f t="shared" si="6"/>
        <v>#DIV/0!</v>
      </c>
      <c r="J12" s="303" t="e">
        <f t="shared" si="6"/>
        <v>#DIV/0!</v>
      </c>
      <c r="K12" s="303" t="e">
        <f t="shared" si="6"/>
        <v>#DIV/0!</v>
      </c>
      <c r="L12" s="303" t="e">
        <f t="shared" si="6"/>
        <v>#DIV/0!</v>
      </c>
      <c r="M12" s="303" t="e">
        <f t="shared" si="6"/>
        <v>#DIV/0!</v>
      </c>
      <c r="N12" s="303" t="e">
        <f t="shared" si="6"/>
        <v>#DIV/0!</v>
      </c>
      <c r="O12" s="303" t="e">
        <f t="shared" si="6"/>
        <v>#DIV/0!</v>
      </c>
      <c r="P12" s="303" t="e">
        <f t="shared" si="6"/>
        <v>#DIV/0!</v>
      </c>
      <c r="Q12" s="303" t="e">
        <f t="shared" si="6"/>
        <v>#DIV/0!</v>
      </c>
      <c r="R12" s="303" t="e">
        <f>R123/R157*0.7457</f>
        <v>#DIV/0!</v>
      </c>
      <c r="S12" s="303" t="e">
        <f t="shared" ref="S12:AF12" si="7">S123/S157*0.7457</f>
        <v>#DIV/0!</v>
      </c>
      <c r="T12" s="303" t="e">
        <f t="shared" si="7"/>
        <v>#DIV/0!</v>
      </c>
      <c r="U12" s="303" t="e">
        <f t="shared" si="7"/>
        <v>#DIV/0!</v>
      </c>
      <c r="V12" s="303" t="e">
        <f t="shared" si="7"/>
        <v>#DIV/0!</v>
      </c>
      <c r="W12" s="303" t="e">
        <f t="shared" si="7"/>
        <v>#DIV/0!</v>
      </c>
      <c r="X12" s="303" t="e">
        <f t="shared" si="7"/>
        <v>#DIV/0!</v>
      </c>
      <c r="Y12" s="303" t="e">
        <f t="shared" si="7"/>
        <v>#DIV/0!</v>
      </c>
      <c r="Z12" s="303" t="e">
        <f t="shared" si="7"/>
        <v>#DIV/0!</v>
      </c>
      <c r="AA12" s="303" t="e">
        <f t="shared" si="7"/>
        <v>#DIV/0!</v>
      </c>
      <c r="AB12" s="303" t="e">
        <f t="shared" si="7"/>
        <v>#DIV/0!</v>
      </c>
      <c r="AC12" s="303" t="e">
        <f t="shared" si="7"/>
        <v>#DIV/0!</v>
      </c>
      <c r="AD12" s="303" t="e">
        <f t="shared" si="7"/>
        <v>#DIV/0!</v>
      </c>
      <c r="AE12" s="303" t="e">
        <f t="shared" si="7"/>
        <v>#DIV/0!</v>
      </c>
      <c r="AF12" s="303" t="e">
        <f t="shared" si="7"/>
        <v>#DIV/0!</v>
      </c>
    </row>
    <row r="13" spans="1:33" s="301" customFormat="1" ht="31" customHeight="1" x14ac:dyDescent="0.25">
      <c r="A13" s="299" t="s">
        <v>126</v>
      </c>
      <c r="B13" s="299" t="s">
        <v>121</v>
      </c>
      <c r="C13" s="303" t="e">
        <f>C140/C157*0.7457</f>
        <v>#DIV/0!</v>
      </c>
      <c r="D13" s="303" t="e">
        <f t="shared" ref="D13:Q13" si="8">D140/D157*0.7457</f>
        <v>#DIV/0!</v>
      </c>
      <c r="E13" s="303" t="e">
        <f t="shared" si="8"/>
        <v>#DIV/0!</v>
      </c>
      <c r="F13" s="303" t="e">
        <f t="shared" si="8"/>
        <v>#DIV/0!</v>
      </c>
      <c r="G13" s="303" t="e">
        <f t="shared" si="8"/>
        <v>#DIV/0!</v>
      </c>
      <c r="H13" s="303" t="e">
        <f t="shared" si="8"/>
        <v>#DIV/0!</v>
      </c>
      <c r="I13" s="303" t="e">
        <f t="shared" si="8"/>
        <v>#DIV/0!</v>
      </c>
      <c r="J13" s="303" t="e">
        <f t="shared" si="8"/>
        <v>#DIV/0!</v>
      </c>
      <c r="K13" s="303" t="e">
        <f t="shared" si="8"/>
        <v>#DIV/0!</v>
      </c>
      <c r="L13" s="303" t="e">
        <f t="shared" si="8"/>
        <v>#DIV/0!</v>
      </c>
      <c r="M13" s="303" t="e">
        <f t="shared" si="8"/>
        <v>#DIV/0!</v>
      </c>
      <c r="N13" s="303" t="e">
        <f t="shared" si="8"/>
        <v>#DIV/0!</v>
      </c>
      <c r="O13" s="303" t="e">
        <f t="shared" si="8"/>
        <v>#DIV/0!</v>
      </c>
      <c r="P13" s="303" t="e">
        <f t="shared" si="8"/>
        <v>#DIV/0!</v>
      </c>
      <c r="Q13" s="303" t="e">
        <f t="shared" si="8"/>
        <v>#DIV/0!</v>
      </c>
      <c r="R13" s="303" t="e">
        <f>R140/R157*0.7457</f>
        <v>#DIV/0!</v>
      </c>
      <c r="S13" s="303" t="e">
        <f t="shared" ref="S13:AF13" si="9">S140/S157*0.7457</f>
        <v>#DIV/0!</v>
      </c>
      <c r="T13" s="303" t="e">
        <f t="shared" si="9"/>
        <v>#DIV/0!</v>
      </c>
      <c r="U13" s="303" t="e">
        <f t="shared" si="9"/>
        <v>#DIV/0!</v>
      </c>
      <c r="V13" s="303" t="e">
        <f t="shared" si="9"/>
        <v>#DIV/0!</v>
      </c>
      <c r="W13" s="303" t="e">
        <f t="shared" si="9"/>
        <v>#DIV/0!</v>
      </c>
      <c r="X13" s="303" t="e">
        <f t="shared" si="9"/>
        <v>#DIV/0!</v>
      </c>
      <c r="Y13" s="303" t="e">
        <f t="shared" si="9"/>
        <v>#DIV/0!</v>
      </c>
      <c r="Z13" s="303" t="e">
        <f t="shared" si="9"/>
        <v>#DIV/0!</v>
      </c>
      <c r="AA13" s="303" t="e">
        <f t="shared" si="9"/>
        <v>#DIV/0!</v>
      </c>
      <c r="AB13" s="303" t="e">
        <f t="shared" si="9"/>
        <v>#DIV/0!</v>
      </c>
      <c r="AC13" s="303" t="e">
        <f t="shared" si="9"/>
        <v>#DIV/0!</v>
      </c>
      <c r="AD13" s="303" t="e">
        <f t="shared" si="9"/>
        <v>#DIV/0!</v>
      </c>
      <c r="AE13" s="303" t="e">
        <f t="shared" si="9"/>
        <v>#DIV/0!</v>
      </c>
      <c r="AF13" s="303" t="e">
        <f t="shared" si="9"/>
        <v>#DIV/0!</v>
      </c>
    </row>
    <row r="14" spans="1:33" s="301" customFormat="1" ht="31" customHeight="1" x14ac:dyDescent="0.25">
      <c r="A14" s="299" t="s">
        <v>127</v>
      </c>
      <c r="B14" s="299" t="s">
        <v>124</v>
      </c>
      <c r="C14" s="302" t="e">
        <f>(C12-C13)/C12</f>
        <v>#DIV/0!</v>
      </c>
      <c r="D14" s="302" t="e">
        <f t="shared" ref="D14:Q14" si="10">(D12-D13)/D12</f>
        <v>#DIV/0!</v>
      </c>
      <c r="E14" s="302" t="e">
        <f t="shared" si="10"/>
        <v>#DIV/0!</v>
      </c>
      <c r="F14" s="302" t="e">
        <f t="shared" si="10"/>
        <v>#DIV/0!</v>
      </c>
      <c r="G14" s="302" t="e">
        <f t="shared" si="10"/>
        <v>#DIV/0!</v>
      </c>
      <c r="H14" s="302" t="e">
        <f t="shared" si="10"/>
        <v>#DIV/0!</v>
      </c>
      <c r="I14" s="302" t="e">
        <f t="shared" si="10"/>
        <v>#DIV/0!</v>
      </c>
      <c r="J14" s="302" t="e">
        <f t="shared" si="10"/>
        <v>#DIV/0!</v>
      </c>
      <c r="K14" s="302" t="e">
        <f t="shared" si="10"/>
        <v>#DIV/0!</v>
      </c>
      <c r="L14" s="302" t="e">
        <f t="shared" si="10"/>
        <v>#DIV/0!</v>
      </c>
      <c r="M14" s="302" t="e">
        <f t="shared" si="10"/>
        <v>#DIV/0!</v>
      </c>
      <c r="N14" s="302" t="e">
        <f t="shared" si="10"/>
        <v>#DIV/0!</v>
      </c>
      <c r="O14" s="302" t="e">
        <f t="shared" si="10"/>
        <v>#DIV/0!</v>
      </c>
      <c r="P14" s="302" t="e">
        <f t="shared" si="10"/>
        <v>#DIV/0!</v>
      </c>
      <c r="Q14" s="302" t="e">
        <f t="shared" si="10"/>
        <v>#DIV/0!</v>
      </c>
      <c r="R14" s="302" t="e">
        <f>(R12-R13)/R12</f>
        <v>#DIV/0!</v>
      </c>
      <c r="S14" s="302" t="e">
        <f t="shared" ref="S14:AF14" si="11">(S12-S13)/S12</f>
        <v>#DIV/0!</v>
      </c>
      <c r="T14" s="302" t="e">
        <f t="shared" si="11"/>
        <v>#DIV/0!</v>
      </c>
      <c r="U14" s="302" t="e">
        <f t="shared" si="11"/>
        <v>#DIV/0!</v>
      </c>
      <c r="V14" s="302" t="e">
        <f t="shared" si="11"/>
        <v>#DIV/0!</v>
      </c>
      <c r="W14" s="302" t="e">
        <f t="shared" si="11"/>
        <v>#DIV/0!</v>
      </c>
      <c r="X14" s="302" t="e">
        <f t="shared" si="11"/>
        <v>#DIV/0!</v>
      </c>
      <c r="Y14" s="302" t="e">
        <f t="shared" si="11"/>
        <v>#DIV/0!</v>
      </c>
      <c r="Z14" s="302" t="e">
        <f t="shared" si="11"/>
        <v>#DIV/0!</v>
      </c>
      <c r="AA14" s="302" t="e">
        <f t="shared" si="11"/>
        <v>#DIV/0!</v>
      </c>
      <c r="AB14" s="302" t="e">
        <f t="shared" si="11"/>
        <v>#DIV/0!</v>
      </c>
      <c r="AC14" s="302" t="e">
        <f t="shared" si="11"/>
        <v>#DIV/0!</v>
      </c>
      <c r="AD14" s="302" t="e">
        <f t="shared" si="11"/>
        <v>#DIV/0!</v>
      </c>
      <c r="AE14" s="302" t="e">
        <f t="shared" si="11"/>
        <v>#DIV/0!</v>
      </c>
      <c r="AF14" s="302" t="e">
        <f t="shared" si="11"/>
        <v>#DIV/0!</v>
      </c>
    </row>
    <row r="15" spans="1:33" s="301" customFormat="1" ht="31" customHeight="1" x14ac:dyDescent="0.25">
      <c r="A15" s="299"/>
      <c r="B15" s="299"/>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row>
    <row r="16" spans="1:33" s="301" customFormat="1" ht="31" customHeight="1" x14ac:dyDescent="0.25">
      <c r="A16" s="299" t="s">
        <v>122</v>
      </c>
      <c r="B16" s="299" t="s">
        <v>128</v>
      </c>
      <c r="C16" s="300" t="e">
        <f>C242/C276*1.609</f>
        <v>#DIV/0!</v>
      </c>
      <c r="D16" s="300" t="e">
        <f t="shared" ref="D16:Q16" si="12">D242/D276*1.609</f>
        <v>#DIV/0!</v>
      </c>
      <c r="E16" s="300" t="e">
        <f t="shared" si="12"/>
        <v>#DIV/0!</v>
      </c>
      <c r="F16" s="300" t="e">
        <f t="shared" si="12"/>
        <v>#DIV/0!</v>
      </c>
      <c r="G16" s="300" t="e">
        <f t="shared" si="12"/>
        <v>#DIV/0!</v>
      </c>
      <c r="H16" s="300" t="e">
        <f t="shared" si="12"/>
        <v>#DIV/0!</v>
      </c>
      <c r="I16" s="300" t="e">
        <f t="shared" si="12"/>
        <v>#DIV/0!</v>
      </c>
      <c r="J16" s="300" t="e">
        <f t="shared" si="12"/>
        <v>#DIV/0!</v>
      </c>
      <c r="K16" s="300" t="e">
        <f t="shared" si="12"/>
        <v>#DIV/0!</v>
      </c>
      <c r="L16" s="300" t="e">
        <f t="shared" si="12"/>
        <v>#DIV/0!</v>
      </c>
      <c r="M16" s="300" t="e">
        <f t="shared" si="12"/>
        <v>#DIV/0!</v>
      </c>
      <c r="N16" s="300" t="e">
        <f t="shared" si="12"/>
        <v>#DIV/0!</v>
      </c>
      <c r="O16" s="300" t="e">
        <f t="shared" si="12"/>
        <v>#DIV/0!</v>
      </c>
      <c r="P16" s="300" t="e">
        <f t="shared" si="12"/>
        <v>#DIV/0!</v>
      </c>
      <c r="Q16" s="300" t="e">
        <f t="shared" si="12"/>
        <v>#DIV/0!</v>
      </c>
      <c r="R16" s="300" t="e">
        <f>R242/R276*1.609</f>
        <v>#DIV/0!</v>
      </c>
      <c r="S16" s="300" t="e">
        <f t="shared" ref="S16:AF16" si="13">S242/S276*1.609</f>
        <v>#DIV/0!</v>
      </c>
      <c r="T16" s="300" t="e">
        <f t="shared" si="13"/>
        <v>#DIV/0!</v>
      </c>
      <c r="U16" s="300" t="e">
        <f t="shared" si="13"/>
        <v>#DIV/0!</v>
      </c>
      <c r="V16" s="300" t="e">
        <f t="shared" si="13"/>
        <v>#DIV/0!</v>
      </c>
      <c r="W16" s="300" t="e">
        <f t="shared" si="13"/>
        <v>#DIV/0!</v>
      </c>
      <c r="X16" s="300" t="e">
        <f t="shared" si="13"/>
        <v>#DIV/0!</v>
      </c>
      <c r="Y16" s="300" t="e">
        <f t="shared" si="13"/>
        <v>#DIV/0!</v>
      </c>
      <c r="Z16" s="300" t="e">
        <f t="shared" si="13"/>
        <v>#DIV/0!</v>
      </c>
      <c r="AA16" s="300" t="e">
        <f t="shared" si="13"/>
        <v>#DIV/0!</v>
      </c>
      <c r="AB16" s="300" t="e">
        <f t="shared" si="13"/>
        <v>#DIV/0!</v>
      </c>
      <c r="AC16" s="300" t="e">
        <f t="shared" si="13"/>
        <v>#DIV/0!</v>
      </c>
      <c r="AD16" s="300" t="e">
        <f t="shared" si="13"/>
        <v>#DIV/0!</v>
      </c>
      <c r="AE16" s="300" t="e">
        <f t="shared" si="13"/>
        <v>#DIV/0!</v>
      </c>
      <c r="AF16" s="300" t="e">
        <f t="shared" si="13"/>
        <v>#DIV/0!</v>
      </c>
    </row>
    <row r="17" spans="1:44" s="301" customFormat="1" ht="31" customHeight="1" x14ac:dyDescent="0.25">
      <c r="B17" s="299"/>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row>
    <row r="18" spans="1:44" s="302" customFormat="1" ht="31" customHeight="1" x14ac:dyDescent="0.25">
      <c r="A18" s="299" t="s">
        <v>129</v>
      </c>
      <c r="B18" s="299" t="s">
        <v>124</v>
      </c>
      <c r="C18" s="302" t="e">
        <f>(C361-C293)/C361</f>
        <v>#DIV/0!</v>
      </c>
      <c r="D18" s="302" t="e">
        <f t="shared" ref="D18:Q18" si="14">(D361-D293)/D361</f>
        <v>#DIV/0!</v>
      </c>
      <c r="E18" s="302" t="e">
        <f t="shared" si="14"/>
        <v>#DIV/0!</v>
      </c>
      <c r="F18" s="302" t="e">
        <f t="shared" si="14"/>
        <v>#DIV/0!</v>
      </c>
      <c r="G18" s="302" t="e">
        <f t="shared" si="14"/>
        <v>#DIV/0!</v>
      </c>
      <c r="H18" s="302" t="e">
        <f t="shared" si="14"/>
        <v>#DIV/0!</v>
      </c>
      <c r="I18" s="302" t="e">
        <f t="shared" si="14"/>
        <v>#DIV/0!</v>
      </c>
      <c r="J18" s="302" t="e">
        <f t="shared" si="14"/>
        <v>#DIV/0!</v>
      </c>
      <c r="K18" s="302" t="e">
        <f t="shared" si="14"/>
        <v>#DIV/0!</v>
      </c>
      <c r="L18" s="302" t="e">
        <f t="shared" si="14"/>
        <v>#DIV/0!</v>
      </c>
      <c r="M18" s="302" t="e">
        <f t="shared" si="14"/>
        <v>#DIV/0!</v>
      </c>
      <c r="N18" s="302" t="e">
        <f t="shared" si="14"/>
        <v>#DIV/0!</v>
      </c>
      <c r="O18" s="302" t="e">
        <f t="shared" si="14"/>
        <v>#DIV/0!</v>
      </c>
      <c r="P18" s="302" t="e">
        <f t="shared" si="14"/>
        <v>#DIV/0!</v>
      </c>
      <c r="Q18" s="302" t="e">
        <f t="shared" si="14"/>
        <v>#DIV/0!</v>
      </c>
      <c r="R18" s="302" t="e">
        <f>(R361-R293)/R361</f>
        <v>#DIV/0!</v>
      </c>
      <c r="S18" s="302" t="e">
        <f t="shared" ref="S18:AF18" si="15">(S361-S293)/S361</f>
        <v>#DIV/0!</v>
      </c>
      <c r="T18" s="302" t="e">
        <f t="shared" si="15"/>
        <v>#DIV/0!</v>
      </c>
      <c r="U18" s="302" t="e">
        <f t="shared" si="15"/>
        <v>#DIV/0!</v>
      </c>
      <c r="V18" s="302" t="e">
        <f t="shared" si="15"/>
        <v>#DIV/0!</v>
      </c>
      <c r="W18" s="302" t="e">
        <f t="shared" si="15"/>
        <v>#DIV/0!</v>
      </c>
      <c r="X18" s="302" t="e">
        <f t="shared" si="15"/>
        <v>#DIV/0!</v>
      </c>
      <c r="Y18" s="302" t="e">
        <f t="shared" si="15"/>
        <v>#DIV/0!</v>
      </c>
      <c r="Z18" s="302" t="e">
        <f t="shared" si="15"/>
        <v>#DIV/0!</v>
      </c>
      <c r="AA18" s="302" t="e">
        <f t="shared" si="15"/>
        <v>#DIV/0!</v>
      </c>
      <c r="AB18" s="302" t="e">
        <f t="shared" si="15"/>
        <v>#DIV/0!</v>
      </c>
      <c r="AC18" s="302" t="e">
        <f t="shared" si="15"/>
        <v>#DIV/0!</v>
      </c>
      <c r="AD18" s="302" t="e">
        <f t="shared" si="15"/>
        <v>#DIV/0!</v>
      </c>
      <c r="AE18" s="302" t="e">
        <f t="shared" si="15"/>
        <v>#DIV/0!</v>
      </c>
      <c r="AF18" s="302" t="e">
        <f t="shared" si="15"/>
        <v>#DIV/0!</v>
      </c>
    </row>
    <row r="19" spans="1:44" s="301" customFormat="1" ht="31" customHeight="1" x14ac:dyDescent="0.25">
      <c r="A19" s="299"/>
      <c r="B19" s="299"/>
    </row>
    <row r="20" spans="1:44" s="291" customFormat="1" ht="31" customHeight="1" x14ac:dyDescent="0.35">
      <c r="A20" s="289" t="s">
        <v>130</v>
      </c>
      <c r="B20" s="289" t="s">
        <v>119</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row>
    <row r="21" spans="1:44" s="283" customFormat="1" ht="31" customHeight="1" x14ac:dyDescent="0.25">
      <c r="A21" s="292" t="s">
        <v>131</v>
      </c>
      <c r="B21" s="292" t="s">
        <v>132</v>
      </c>
      <c r="AG21" s="283">
        <v>416.95800000000003</v>
      </c>
      <c r="AH21" s="283">
        <v>41440.332000000002</v>
      </c>
      <c r="AI21" s="283">
        <v>59438.139000000003</v>
      </c>
      <c r="AJ21" s="283">
        <v>36463.701999999997</v>
      </c>
      <c r="AK21" s="283">
        <v>51441.423000000003</v>
      </c>
      <c r="AL21" s="283">
        <v>44431.684000000001</v>
      </c>
      <c r="AM21" s="283">
        <v>15549.499</v>
      </c>
      <c r="AN21" s="283">
        <v>8556.4500000000007</v>
      </c>
      <c r="AO21" s="283">
        <v>24676.93</v>
      </c>
      <c r="AP21" s="283">
        <v>34364.014000000003</v>
      </c>
      <c r="AQ21" s="283">
        <v>36013.962</v>
      </c>
      <c r="AR21" s="283">
        <v>13802.609</v>
      </c>
    </row>
    <row r="22" spans="1:44" s="283" customFormat="1" ht="31" customHeight="1" x14ac:dyDescent="0.25">
      <c r="A22" s="292" t="s">
        <v>133</v>
      </c>
      <c r="B22" s="292" t="s">
        <v>132</v>
      </c>
      <c r="AG22" s="283">
        <v>14.906000000000001</v>
      </c>
      <c r="AH22" s="283">
        <v>45.554000000000002</v>
      </c>
      <c r="AI22" s="283">
        <v>165.53899999999999</v>
      </c>
      <c r="AJ22" s="283">
        <v>119.295</v>
      </c>
      <c r="AK22" s="283">
        <v>85.951999999999998</v>
      </c>
      <c r="AL22" s="283">
        <v>72.948999999999998</v>
      </c>
      <c r="AM22" s="283">
        <v>14.901</v>
      </c>
      <c r="AN22" s="283">
        <v>13.590999999999999</v>
      </c>
      <c r="AO22" s="283">
        <v>66.849000000000004</v>
      </c>
      <c r="AP22" s="283">
        <v>51.252000000000002</v>
      </c>
      <c r="AQ22" s="283">
        <v>77.054000000000002</v>
      </c>
      <c r="AR22" s="283">
        <v>66.722999999999999</v>
      </c>
    </row>
    <row r="23" spans="1:44" s="283" customFormat="1" ht="31" customHeight="1" x14ac:dyDescent="0.25">
      <c r="A23" s="292" t="s">
        <v>134</v>
      </c>
      <c r="B23" s="292" t="s">
        <v>132</v>
      </c>
      <c r="AG23" s="283">
        <v>10.827999999999999</v>
      </c>
      <c r="AH23" s="283">
        <v>149.25299999999999</v>
      </c>
      <c r="AI23" s="283">
        <v>222.30500000000001</v>
      </c>
      <c r="AJ23" s="283">
        <v>154.81700000000001</v>
      </c>
      <c r="AK23" s="283">
        <v>128.13300000000001</v>
      </c>
      <c r="AL23" s="283">
        <v>178.97300000000001</v>
      </c>
      <c r="AM23" s="283">
        <v>57.213999999999999</v>
      </c>
      <c r="AN23" s="283">
        <v>50.597999999999999</v>
      </c>
      <c r="AO23" s="283">
        <v>165.535</v>
      </c>
      <c r="AP23" s="283">
        <v>233.46199999999999</v>
      </c>
      <c r="AQ23" s="283">
        <v>243.251</v>
      </c>
      <c r="AR23" s="283">
        <v>144.98099999999999</v>
      </c>
    </row>
    <row r="24" spans="1:44" s="283" customFormat="1" ht="31" customHeight="1" x14ac:dyDescent="0.25">
      <c r="A24" s="292" t="s">
        <v>135</v>
      </c>
      <c r="B24" s="292" t="s">
        <v>132</v>
      </c>
      <c r="AG24" s="283">
        <v>15.406000000000001</v>
      </c>
      <c r="AH24" s="283">
        <v>157.815</v>
      </c>
      <c r="AI24" s="283">
        <v>252.85300000000001</v>
      </c>
      <c r="AJ24" s="283">
        <v>123.279</v>
      </c>
      <c r="AK24" s="283">
        <v>147.42400000000001</v>
      </c>
      <c r="AL24" s="283">
        <v>249.989</v>
      </c>
      <c r="AM24" s="283">
        <v>50.152999999999999</v>
      </c>
      <c r="AN24" s="283">
        <v>32.21</v>
      </c>
      <c r="AO24" s="283">
        <v>274.44400000000002</v>
      </c>
      <c r="AP24" s="283">
        <v>376.40100000000001</v>
      </c>
      <c r="AQ24" s="283">
        <v>316.34199999999998</v>
      </c>
      <c r="AR24" s="283">
        <v>203.24299999999999</v>
      </c>
    </row>
    <row r="25" spans="1:44" s="283" customFormat="1" ht="31" customHeight="1" x14ac:dyDescent="0.25">
      <c r="A25" s="292" t="s">
        <v>136</v>
      </c>
      <c r="B25" s="292" t="s">
        <v>132</v>
      </c>
      <c r="AG25" s="283">
        <v>7.82</v>
      </c>
      <c r="AH25" s="283">
        <v>134.03200000000001</v>
      </c>
      <c r="AI25" s="283">
        <v>261.09800000000001</v>
      </c>
      <c r="AJ25" s="283">
        <v>99.561000000000007</v>
      </c>
      <c r="AK25" s="283">
        <v>111.864</v>
      </c>
      <c r="AL25" s="283">
        <v>278.11799999999999</v>
      </c>
      <c r="AM25" s="283">
        <v>35.063000000000002</v>
      </c>
      <c r="AN25" s="283">
        <v>26.187000000000001</v>
      </c>
      <c r="AO25" s="283">
        <v>226.15100000000001</v>
      </c>
      <c r="AP25" s="283">
        <v>250.137</v>
      </c>
      <c r="AQ25" s="283">
        <v>234.52500000000001</v>
      </c>
      <c r="AR25" s="283">
        <v>221.49700000000001</v>
      </c>
    </row>
    <row r="26" spans="1:44" s="283" customFormat="1" ht="31" customHeight="1" x14ac:dyDescent="0.25">
      <c r="A26" s="292" t="s">
        <v>137</v>
      </c>
      <c r="B26" s="292" t="s">
        <v>132</v>
      </c>
      <c r="AG26" s="283">
        <v>120.245</v>
      </c>
      <c r="AH26" s="283">
        <v>7767.4960000000001</v>
      </c>
      <c r="AI26" s="283">
        <v>7099.4849999999997</v>
      </c>
      <c r="AJ26" s="283">
        <v>4183.848</v>
      </c>
      <c r="AK26" s="283">
        <v>5582.723</v>
      </c>
      <c r="AL26" s="283">
        <v>7979.5370000000003</v>
      </c>
      <c r="AM26" s="283">
        <v>647.35699999999997</v>
      </c>
      <c r="AN26" s="283">
        <v>474.93099999999998</v>
      </c>
      <c r="AO26" s="283">
        <v>1572.625</v>
      </c>
      <c r="AP26" s="283">
        <v>1915.08</v>
      </c>
      <c r="AQ26" s="283">
        <v>2537.3649999999998</v>
      </c>
      <c r="AR26" s="283">
        <v>905.02599999999995</v>
      </c>
    </row>
    <row r="27" spans="1:44" s="283" customFormat="1" ht="31" customHeight="1" x14ac:dyDescent="0.25">
      <c r="A27" s="292" t="s">
        <v>138</v>
      </c>
      <c r="B27" s="292" t="s">
        <v>132</v>
      </c>
      <c r="AG27" s="283">
        <v>1.968</v>
      </c>
      <c r="AH27" s="283">
        <v>40.749000000000002</v>
      </c>
      <c r="AI27" s="283">
        <v>62.585999999999999</v>
      </c>
      <c r="AJ27" s="283">
        <v>32.981000000000002</v>
      </c>
      <c r="AK27" s="283">
        <v>45.58</v>
      </c>
      <c r="AL27" s="283">
        <v>59.070999999999998</v>
      </c>
      <c r="AM27" s="283">
        <v>13.56</v>
      </c>
      <c r="AN27" s="283">
        <v>8.1359999999999992</v>
      </c>
      <c r="AO27" s="283">
        <v>78.034999999999997</v>
      </c>
      <c r="AP27" s="283">
        <v>102.93899999999999</v>
      </c>
      <c r="AQ27" s="283">
        <v>72.808000000000007</v>
      </c>
      <c r="AR27" s="283">
        <v>71.156999999999996</v>
      </c>
    </row>
    <row r="28" spans="1:44" s="283" customFormat="1" ht="31" customHeight="1" x14ac:dyDescent="0.25">
      <c r="A28" s="292" t="s">
        <v>139</v>
      </c>
      <c r="B28" s="292" t="s">
        <v>132</v>
      </c>
      <c r="AG28" s="283">
        <v>3.4119999999999999</v>
      </c>
      <c r="AH28" s="283">
        <v>109.889</v>
      </c>
      <c r="AI28" s="283">
        <v>161.35599999999999</v>
      </c>
      <c r="AJ28" s="283">
        <v>85.507999999999996</v>
      </c>
      <c r="AK28" s="283">
        <v>99.001999999999995</v>
      </c>
      <c r="AL28" s="283">
        <v>191.64</v>
      </c>
      <c r="AM28" s="283">
        <v>21.31</v>
      </c>
      <c r="AN28" s="283">
        <v>14.042</v>
      </c>
      <c r="AO28" s="283">
        <v>93.21</v>
      </c>
      <c r="AP28" s="283">
        <v>203.733</v>
      </c>
      <c r="AQ28" s="283">
        <v>198.97499999999999</v>
      </c>
      <c r="AR28" s="283">
        <v>119.658</v>
      </c>
    </row>
    <row r="29" spans="1:44" s="283" customFormat="1" ht="31" customHeight="1" x14ac:dyDescent="0.25">
      <c r="A29" s="292" t="s">
        <v>140</v>
      </c>
      <c r="B29" s="292" t="s">
        <v>132</v>
      </c>
      <c r="AG29" s="283">
        <v>1.746</v>
      </c>
      <c r="AH29" s="283">
        <v>114.52200000000001</v>
      </c>
      <c r="AI29" s="283">
        <v>201.66300000000001</v>
      </c>
      <c r="AJ29" s="283">
        <v>73.688000000000002</v>
      </c>
      <c r="AK29" s="283">
        <v>72.331000000000003</v>
      </c>
      <c r="AL29" s="283">
        <v>254.489</v>
      </c>
      <c r="AM29" s="283">
        <v>23.082000000000001</v>
      </c>
      <c r="AN29" s="283">
        <v>22.637</v>
      </c>
      <c r="AO29" s="283">
        <v>115.71899999999999</v>
      </c>
      <c r="AP29" s="283">
        <v>203.50299999999999</v>
      </c>
      <c r="AQ29" s="283">
        <v>243.64599999999999</v>
      </c>
      <c r="AR29" s="283">
        <v>217.69900000000001</v>
      </c>
    </row>
    <row r="30" spans="1:44" s="283" customFormat="1" ht="31" customHeight="1" x14ac:dyDescent="0.25">
      <c r="A30" s="292" t="s">
        <v>141</v>
      </c>
      <c r="B30" s="292" t="s">
        <v>132</v>
      </c>
      <c r="AG30" s="283">
        <v>176.642</v>
      </c>
      <c r="AH30" s="283">
        <v>21508.089</v>
      </c>
      <c r="AI30" s="283">
        <v>32746.391</v>
      </c>
      <c r="AJ30" s="283">
        <v>20010.965</v>
      </c>
      <c r="AK30" s="283">
        <v>30587.807000000001</v>
      </c>
      <c r="AL30" s="283">
        <v>25280.965</v>
      </c>
      <c r="AM30" s="283">
        <v>6923.2539999999999</v>
      </c>
      <c r="AN30" s="283">
        <v>3176.5920000000001</v>
      </c>
      <c r="AO30" s="283">
        <v>6894.5330000000004</v>
      </c>
      <c r="AP30" s="283">
        <v>7311.1779999999999</v>
      </c>
      <c r="AQ30" s="283">
        <v>10778.509</v>
      </c>
      <c r="AR30" s="283">
        <v>3171.9520000000002</v>
      </c>
    </row>
    <row r="31" spans="1:44" s="283" customFormat="1" ht="31" customHeight="1" x14ac:dyDescent="0.25">
      <c r="A31" s="292" t="s">
        <v>142</v>
      </c>
      <c r="B31" s="292" t="s">
        <v>132</v>
      </c>
      <c r="AG31" s="283">
        <v>0.307</v>
      </c>
      <c r="AH31" s="283">
        <v>32.488999999999997</v>
      </c>
      <c r="AI31" s="283">
        <v>38.792999999999999</v>
      </c>
      <c r="AJ31" s="283">
        <v>12.654999999999999</v>
      </c>
      <c r="AK31" s="283">
        <v>22.721</v>
      </c>
      <c r="AL31" s="283">
        <v>31.25</v>
      </c>
      <c r="AM31" s="283">
        <v>8.5660000000000007</v>
      </c>
      <c r="AN31" s="283">
        <v>6.7229999999999999</v>
      </c>
      <c r="AO31" s="283">
        <v>79.625</v>
      </c>
      <c r="AP31" s="283">
        <v>62.448</v>
      </c>
      <c r="AQ31" s="283">
        <v>34.31</v>
      </c>
      <c r="AR31" s="283">
        <v>37.119</v>
      </c>
    </row>
    <row r="32" spans="1:44" s="283" customFormat="1" ht="31" customHeight="1" x14ac:dyDescent="0.25">
      <c r="A32" s="292" t="s">
        <v>143</v>
      </c>
      <c r="B32" s="292" t="s">
        <v>132</v>
      </c>
      <c r="AG32" s="283">
        <v>8.6359999999999992</v>
      </c>
      <c r="AH32" s="283">
        <v>336.274</v>
      </c>
      <c r="AI32" s="283">
        <v>545.07299999999998</v>
      </c>
      <c r="AJ32" s="283">
        <v>255.208</v>
      </c>
      <c r="AK32" s="283">
        <v>306.00700000000001</v>
      </c>
      <c r="AL32" s="283">
        <v>340.42500000000001</v>
      </c>
      <c r="AM32" s="283">
        <v>81.716999999999999</v>
      </c>
      <c r="AN32" s="283">
        <v>50.277999999999999</v>
      </c>
      <c r="AO32" s="283">
        <v>601.40899999999999</v>
      </c>
      <c r="AP32" s="283">
        <v>743.25099999999998</v>
      </c>
      <c r="AQ32" s="283">
        <v>537.94100000000003</v>
      </c>
      <c r="AR32" s="283">
        <v>378.97800000000001</v>
      </c>
    </row>
    <row r="33" spans="1:44" s="283" customFormat="1" ht="31" customHeight="1" x14ac:dyDescent="0.25">
      <c r="A33" s="292" t="s">
        <v>144</v>
      </c>
      <c r="B33" s="292" t="s">
        <v>132</v>
      </c>
      <c r="AG33" s="283">
        <v>19.78</v>
      </c>
      <c r="AH33" s="283">
        <v>793.38699999999994</v>
      </c>
      <c r="AI33" s="283">
        <v>1339.8150000000001</v>
      </c>
      <c r="AJ33" s="283">
        <v>650.60900000000004</v>
      </c>
      <c r="AK33" s="283">
        <v>783.13099999999997</v>
      </c>
      <c r="AL33" s="283">
        <v>793.89599999999996</v>
      </c>
      <c r="AM33" s="283">
        <v>234.13800000000001</v>
      </c>
      <c r="AN33" s="283">
        <v>450.43200000000002</v>
      </c>
      <c r="AO33" s="283">
        <v>1422.1959999999999</v>
      </c>
      <c r="AP33" s="283">
        <v>1931.307</v>
      </c>
      <c r="AQ33" s="283">
        <v>1542.059</v>
      </c>
      <c r="AR33" s="283">
        <v>1042.8679999999999</v>
      </c>
    </row>
    <row r="34" spans="1:44" s="283" customFormat="1" ht="31" customHeight="1" x14ac:dyDescent="0.25">
      <c r="A34" s="292" t="s">
        <v>145</v>
      </c>
      <c r="B34" s="292" t="s">
        <v>132</v>
      </c>
      <c r="AG34" s="283">
        <v>35.265999999999998</v>
      </c>
      <c r="AH34" s="283">
        <v>10250.787</v>
      </c>
      <c r="AI34" s="283">
        <v>16341.184999999999</v>
      </c>
      <c r="AJ34" s="283">
        <v>10661.29</v>
      </c>
      <c r="AK34" s="283">
        <v>13468.749</v>
      </c>
      <c r="AL34" s="283">
        <v>8720.3829999999998</v>
      </c>
      <c r="AM34" s="283">
        <v>7439.1869999999999</v>
      </c>
      <c r="AN34" s="283">
        <v>4230.0959999999995</v>
      </c>
      <c r="AO34" s="283">
        <v>13086.603999999999</v>
      </c>
      <c r="AP34" s="283">
        <v>20979.324000000001</v>
      </c>
      <c r="AQ34" s="283">
        <v>19197.179</v>
      </c>
      <c r="AR34" s="283">
        <v>7221.71</v>
      </c>
    </row>
    <row r="35" spans="1:44" s="283" customFormat="1" ht="31" customHeight="1" x14ac:dyDescent="0.25">
      <c r="A35" s="292" t="s">
        <v>146</v>
      </c>
      <c r="B35" s="292" t="s">
        <v>132</v>
      </c>
      <c r="AG35" s="283">
        <v>669.38</v>
      </c>
      <c r="AH35" s="283">
        <v>19126.081999999999</v>
      </c>
      <c r="AI35" s="283">
        <v>764.74099999999999</v>
      </c>
      <c r="AJ35" s="283">
        <v>296.18700000000001</v>
      </c>
      <c r="AK35" s="283">
        <v>1685.837</v>
      </c>
      <c r="AL35" s="283">
        <v>5652.1409999999996</v>
      </c>
      <c r="AM35" s="283">
        <v>396.44</v>
      </c>
      <c r="AN35" s="283">
        <v>478.53699999999998</v>
      </c>
      <c r="AO35" s="283">
        <v>1681.2059999999999</v>
      </c>
      <c r="AP35" s="283">
        <v>837.16200000000003</v>
      </c>
      <c r="AQ35" s="283">
        <v>1726.183</v>
      </c>
      <c r="AR35" s="283">
        <v>658.04499999999996</v>
      </c>
    </row>
    <row r="36" spans="1:44" s="283" customFormat="1" ht="31" customHeight="1" x14ac:dyDescent="0.25">
      <c r="A36" s="292" t="s">
        <v>147</v>
      </c>
      <c r="B36" s="292" t="s">
        <v>132</v>
      </c>
      <c r="AG36" s="283">
        <v>0</v>
      </c>
      <c r="AH36" s="283">
        <v>0</v>
      </c>
      <c r="AI36" s="283">
        <v>546.71699999999998</v>
      </c>
      <c r="AJ36" s="283">
        <v>330.95600000000002</v>
      </c>
      <c r="AK36" s="283">
        <v>0</v>
      </c>
      <c r="AL36" s="283">
        <v>365.1</v>
      </c>
      <c r="AM36" s="283">
        <v>0</v>
      </c>
      <c r="AN36" s="283">
        <v>0</v>
      </c>
      <c r="AO36" s="283">
        <v>279.21699999999998</v>
      </c>
      <c r="AP36" s="283">
        <v>571.279</v>
      </c>
      <c r="AQ36" s="283">
        <v>537.61</v>
      </c>
      <c r="AR36" s="283">
        <v>741.97699999999998</v>
      </c>
    </row>
    <row r="37" spans="1:44" s="283" customFormat="1" ht="31" customHeight="1" x14ac:dyDescent="0.25">
      <c r="A37" s="292" t="s">
        <v>148</v>
      </c>
      <c r="B37" s="292" t="s">
        <v>132</v>
      </c>
      <c r="AG37" s="283">
        <v>1622.242</v>
      </c>
      <c r="AH37" s="283">
        <v>141457.878</v>
      </c>
      <c r="AI37" s="283">
        <v>0</v>
      </c>
      <c r="AJ37" s="283">
        <v>0</v>
      </c>
      <c r="AK37" s="283">
        <v>0</v>
      </c>
      <c r="AL37" s="283">
        <v>0</v>
      </c>
      <c r="AM37" s="283">
        <v>0</v>
      </c>
      <c r="AN37" s="283">
        <v>0</v>
      </c>
      <c r="AO37" s="283">
        <v>0</v>
      </c>
      <c r="AP37" s="283">
        <v>0</v>
      </c>
      <c r="AQ37" s="283">
        <v>0</v>
      </c>
      <c r="AR37" s="283">
        <v>0</v>
      </c>
    </row>
    <row r="38" spans="1:44" s="283" customFormat="1" ht="31" customHeight="1" x14ac:dyDescent="0.25">
      <c r="A38" s="292" t="s">
        <v>149</v>
      </c>
      <c r="B38" s="292" t="s">
        <v>132</v>
      </c>
      <c r="AG38" s="283">
        <v>3.851</v>
      </c>
      <c r="AH38" s="283">
        <v>800.947</v>
      </c>
      <c r="AI38" s="283">
        <v>663.07600000000002</v>
      </c>
      <c r="AJ38" s="283">
        <v>351.87299999999999</v>
      </c>
      <c r="AK38" s="283">
        <v>766.96600000000001</v>
      </c>
      <c r="AL38" s="283">
        <v>580.73699999999997</v>
      </c>
      <c r="AM38" s="283">
        <v>526.91099999999994</v>
      </c>
      <c r="AN38" s="283">
        <v>235.25700000000001</v>
      </c>
      <c r="AO38" s="283">
        <v>534.23900000000003</v>
      </c>
      <c r="AP38" s="283">
        <v>937.05399999999997</v>
      </c>
      <c r="AQ38" s="283">
        <v>1386.6410000000001</v>
      </c>
      <c r="AR38" s="283">
        <v>807.79300000000001</v>
      </c>
    </row>
    <row r="39" spans="1:44" s="283" customFormat="1" ht="31" customHeight="1" x14ac:dyDescent="0.25">
      <c r="A39" s="292" t="s">
        <v>150</v>
      </c>
      <c r="B39" s="292" t="s">
        <v>132</v>
      </c>
      <c r="AG39" s="283">
        <v>0.76200000000000001</v>
      </c>
      <c r="AH39" s="283">
        <v>7.5129999999999999</v>
      </c>
      <c r="AI39" s="283">
        <v>18.989000000000001</v>
      </c>
      <c r="AJ39" s="283">
        <v>17.295999999999999</v>
      </c>
      <c r="AK39" s="283">
        <v>10.715</v>
      </c>
      <c r="AL39" s="283">
        <v>9.0220000000000002</v>
      </c>
      <c r="AM39" s="283">
        <v>0.96699999999999997</v>
      </c>
      <c r="AN39" s="283">
        <v>0.442</v>
      </c>
      <c r="AO39" s="283">
        <v>3.0640000000000001</v>
      </c>
      <c r="AP39" s="283">
        <v>2.359</v>
      </c>
      <c r="AQ39" s="283">
        <v>6.4210000000000003</v>
      </c>
      <c r="AR39" s="283">
        <v>6.1609999999999996</v>
      </c>
    </row>
    <row r="40" spans="1:44" s="283" customFormat="1" ht="31" customHeight="1" x14ac:dyDescent="0.25">
      <c r="A40" s="292" t="s">
        <v>151</v>
      </c>
      <c r="B40" s="292" t="s">
        <v>132</v>
      </c>
      <c r="AG40" s="283">
        <v>9.7000000000000003E-2</v>
      </c>
      <c r="AH40" s="283">
        <v>7.8680000000000003</v>
      </c>
      <c r="AI40" s="283">
        <v>32.277000000000001</v>
      </c>
      <c r="AJ40" s="283">
        <v>13.042</v>
      </c>
      <c r="AK40" s="283">
        <v>16.765000000000001</v>
      </c>
      <c r="AL40" s="283">
        <v>14.766</v>
      </c>
      <c r="AM40" s="283">
        <v>3.645</v>
      </c>
      <c r="AN40" s="283">
        <v>4.202</v>
      </c>
      <c r="AO40" s="283">
        <v>5.32</v>
      </c>
      <c r="AP40" s="283">
        <v>8.0519999999999996</v>
      </c>
      <c r="AQ40" s="283">
        <v>22.183</v>
      </c>
      <c r="AR40" s="283">
        <v>8.9179999999999993</v>
      </c>
    </row>
    <row r="41" spans="1:44" s="283" customFormat="1" ht="31" customHeight="1" x14ac:dyDescent="0.25">
      <c r="A41" s="292" t="s">
        <v>152</v>
      </c>
      <c r="B41" s="292" t="s">
        <v>132</v>
      </c>
      <c r="AG41" s="283">
        <v>0.11600000000000001</v>
      </c>
      <c r="AH41" s="283">
        <v>9.9429999999999996</v>
      </c>
      <c r="AI41" s="283">
        <v>13.63</v>
      </c>
      <c r="AJ41" s="283">
        <v>4.2190000000000003</v>
      </c>
      <c r="AK41" s="283">
        <v>6.7880000000000003</v>
      </c>
      <c r="AL41" s="283">
        <v>13.159000000000001</v>
      </c>
      <c r="AM41" s="283">
        <v>4.5119999999999996</v>
      </c>
      <c r="AN41" s="283">
        <v>3.3620000000000001</v>
      </c>
      <c r="AO41" s="283">
        <v>10.16</v>
      </c>
      <c r="AP41" s="283">
        <v>18.056000000000001</v>
      </c>
      <c r="AQ41" s="283">
        <v>15.085000000000001</v>
      </c>
      <c r="AR41" s="283">
        <v>21.742999999999999</v>
      </c>
    </row>
    <row r="42" spans="1:44" s="283" customFormat="1" ht="31" customHeight="1" x14ac:dyDescent="0.25">
      <c r="A42" s="292" t="s">
        <v>153</v>
      </c>
      <c r="B42" s="292" t="s">
        <v>132</v>
      </c>
      <c r="AG42" s="283">
        <v>7.1999999999999995E-2</v>
      </c>
      <c r="AH42" s="283">
        <v>8.9290000000000003</v>
      </c>
      <c r="AI42" s="283">
        <v>8.7780000000000005</v>
      </c>
      <c r="AJ42" s="283">
        <v>4.59</v>
      </c>
      <c r="AK42" s="283">
        <v>7.5469999999999997</v>
      </c>
      <c r="AL42" s="283">
        <v>11.193</v>
      </c>
      <c r="AM42" s="283">
        <v>3.1589999999999998</v>
      </c>
      <c r="AN42" s="283">
        <v>1.484</v>
      </c>
      <c r="AO42" s="283">
        <v>13.379</v>
      </c>
      <c r="AP42" s="283">
        <v>15.782999999999999</v>
      </c>
      <c r="AQ42" s="283">
        <v>16.623999999999999</v>
      </c>
      <c r="AR42" s="283">
        <v>34.933</v>
      </c>
    </row>
    <row r="43" spans="1:44" s="283" customFormat="1" ht="31" customHeight="1" x14ac:dyDescent="0.25">
      <c r="A43" s="292" t="s">
        <v>154</v>
      </c>
      <c r="B43" s="292" t="s">
        <v>132</v>
      </c>
      <c r="AG43" s="283">
        <v>0.85199999999999998</v>
      </c>
      <c r="AH43" s="283">
        <v>230.99700000000001</v>
      </c>
      <c r="AI43" s="283">
        <v>103.601</v>
      </c>
      <c r="AJ43" s="283">
        <v>68.66</v>
      </c>
      <c r="AK43" s="283">
        <v>134.857</v>
      </c>
      <c r="AL43" s="283">
        <v>114.405</v>
      </c>
      <c r="AM43" s="283">
        <v>33.817999999999998</v>
      </c>
      <c r="AN43" s="283">
        <v>18.016999999999999</v>
      </c>
      <c r="AO43" s="283">
        <v>68.489000000000004</v>
      </c>
      <c r="AP43" s="283">
        <v>79.777000000000001</v>
      </c>
      <c r="AQ43" s="283">
        <v>150.57599999999999</v>
      </c>
      <c r="AR43" s="283">
        <v>116.43300000000001</v>
      </c>
    </row>
    <row r="44" spans="1:44" s="283" customFormat="1" ht="31" customHeight="1" x14ac:dyDescent="0.25">
      <c r="A44" s="292" t="s">
        <v>155</v>
      </c>
      <c r="B44" s="292" t="s">
        <v>132</v>
      </c>
      <c r="AG44" s="283">
        <v>8.0000000000000002E-3</v>
      </c>
      <c r="AH44" s="283">
        <v>0.872</v>
      </c>
      <c r="AI44" s="283">
        <v>2.3109999999999999</v>
      </c>
      <c r="AJ44" s="283">
        <v>0.53600000000000003</v>
      </c>
      <c r="AK44" s="283">
        <v>1.647</v>
      </c>
      <c r="AL44" s="283">
        <v>0.746</v>
      </c>
      <c r="AM44" s="283">
        <v>0.31</v>
      </c>
      <c r="AN44" s="283">
        <v>0.14499999999999999</v>
      </c>
      <c r="AO44" s="283">
        <v>0.72499999999999998</v>
      </c>
      <c r="AP44" s="283">
        <v>1.1060000000000001</v>
      </c>
      <c r="AQ44" s="283">
        <v>1.1200000000000001</v>
      </c>
      <c r="AR44" s="283">
        <v>1.694</v>
      </c>
    </row>
    <row r="45" spans="1:44" s="283" customFormat="1" ht="31" customHeight="1" x14ac:dyDescent="0.25">
      <c r="A45" s="292" t="s">
        <v>156</v>
      </c>
      <c r="B45" s="292" t="s">
        <v>132</v>
      </c>
      <c r="AG45" s="283">
        <v>0.03</v>
      </c>
      <c r="AH45" s="283">
        <v>3.1709999999999998</v>
      </c>
      <c r="AI45" s="283">
        <v>5.8780000000000001</v>
      </c>
      <c r="AJ45" s="283">
        <v>1.337</v>
      </c>
      <c r="AK45" s="283">
        <v>2.121</v>
      </c>
      <c r="AL45" s="283">
        <v>4.9729999999999999</v>
      </c>
      <c r="AM45" s="283">
        <v>0.93200000000000005</v>
      </c>
      <c r="AN45" s="283">
        <v>0.59699999999999998</v>
      </c>
      <c r="AO45" s="283">
        <v>2.4300000000000002</v>
      </c>
      <c r="AP45" s="283">
        <v>5.5940000000000003</v>
      </c>
      <c r="AQ45" s="283">
        <v>4.2439999999999998</v>
      </c>
      <c r="AR45" s="283">
        <v>7.3140000000000001</v>
      </c>
    </row>
    <row r="46" spans="1:44" s="283" customFormat="1" ht="31" customHeight="1" x14ac:dyDescent="0.25">
      <c r="A46" s="292" t="s">
        <v>157</v>
      </c>
      <c r="B46" s="292" t="s">
        <v>132</v>
      </c>
      <c r="AG46" s="283">
        <v>2.1000000000000001E-2</v>
      </c>
      <c r="AH46" s="283">
        <v>3.766</v>
      </c>
      <c r="AI46" s="283">
        <v>4.2619999999999996</v>
      </c>
      <c r="AJ46" s="283">
        <v>1.9470000000000001</v>
      </c>
      <c r="AK46" s="283">
        <v>3.4009999999999998</v>
      </c>
      <c r="AL46" s="283">
        <v>7.3440000000000003</v>
      </c>
      <c r="AM46" s="283">
        <v>1.2330000000000001</v>
      </c>
      <c r="AN46" s="283">
        <v>0.78400000000000003</v>
      </c>
      <c r="AO46" s="283">
        <v>3.7919999999999998</v>
      </c>
      <c r="AP46" s="283">
        <v>7.5350000000000001</v>
      </c>
      <c r="AQ46" s="283">
        <v>9.3010000000000002</v>
      </c>
      <c r="AR46" s="283">
        <v>16.164999999999999</v>
      </c>
    </row>
    <row r="47" spans="1:44" s="283" customFormat="1" ht="31" customHeight="1" x14ac:dyDescent="0.25">
      <c r="A47" s="292" t="s">
        <v>158</v>
      </c>
      <c r="B47" s="292" t="s">
        <v>132</v>
      </c>
      <c r="AG47" s="283">
        <v>0.95299999999999996</v>
      </c>
      <c r="AH47" s="283">
        <v>305.83300000000003</v>
      </c>
      <c r="AI47" s="283">
        <v>261.64800000000002</v>
      </c>
      <c r="AJ47" s="283">
        <v>139.714</v>
      </c>
      <c r="AK47" s="283">
        <v>346.06299999999999</v>
      </c>
      <c r="AL47" s="283">
        <v>216.791</v>
      </c>
      <c r="AM47" s="283">
        <v>236.4</v>
      </c>
      <c r="AN47" s="283">
        <v>78.227000000000004</v>
      </c>
      <c r="AO47" s="283">
        <v>116.282</v>
      </c>
      <c r="AP47" s="283">
        <v>159.47200000000001</v>
      </c>
      <c r="AQ47" s="283">
        <v>341.18099999999998</v>
      </c>
      <c r="AR47" s="283">
        <v>141.5</v>
      </c>
    </row>
    <row r="48" spans="1:44" s="283" customFormat="1" ht="31" customHeight="1" x14ac:dyDescent="0.25">
      <c r="A48" s="292" t="s">
        <v>159</v>
      </c>
      <c r="B48" s="292" t="s">
        <v>132</v>
      </c>
      <c r="AG48" s="283">
        <v>5.0000000000000001E-3</v>
      </c>
      <c r="AH48" s="283">
        <v>0.435</v>
      </c>
      <c r="AI48" s="283">
        <v>0.98899999999999999</v>
      </c>
      <c r="AJ48" s="283">
        <v>0.20100000000000001</v>
      </c>
      <c r="AK48" s="283">
        <v>0.45100000000000001</v>
      </c>
      <c r="AL48" s="283">
        <v>0.435</v>
      </c>
      <c r="AM48" s="283">
        <v>0.109</v>
      </c>
      <c r="AN48" s="283">
        <v>0.126</v>
      </c>
      <c r="AO48" s="283">
        <v>0.97599999999999998</v>
      </c>
      <c r="AP48" s="283">
        <v>0.58699999999999997</v>
      </c>
      <c r="AQ48" s="283">
        <v>0.72399999999999998</v>
      </c>
      <c r="AR48" s="283">
        <v>0.81</v>
      </c>
    </row>
    <row r="49" spans="1:44" s="283" customFormat="1" ht="31" customHeight="1" x14ac:dyDescent="0.25">
      <c r="A49" s="292" t="s">
        <v>160</v>
      </c>
      <c r="B49" s="292" t="s">
        <v>132</v>
      </c>
      <c r="AG49" s="283">
        <v>1.7000000000000001E-2</v>
      </c>
      <c r="AH49" s="283">
        <v>7.0119999999999996</v>
      </c>
      <c r="AI49" s="283">
        <v>12.78</v>
      </c>
      <c r="AJ49" s="283">
        <v>1.86</v>
      </c>
      <c r="AK49" s="283">
        <v>7.6369999999999996</v>
      </c>
      <c r="AL49" s="283">
        <v>6.1609999999999996</v>
      </c>
      <c r="AM49" s="283">
        <v>2.21</v>
      </c>
      <c r="AN49" s="283">
        <v>1.5449999999999999</v>
      </c>
      <c r="AO49" s="283">
        <v>7.4139999999999997</v>
      </c>
      <c r="AP49" s="283">
        <v>10.762</v>
      </c>
      <c r="AQ49" s="283">
        <v>9.7669999999999995</v>
      </c>
      <c r="AR49" s="283">
        <v>12.738</v>
      </c>
    </row>
    <row r="50" spans="1:44" s="283" customFormat="1" ht="31" customHeight="1" x14ac:dyDescent="0.25">
      <c r="A50" s="292" t="s">
        <v>161</v>
      </c>
      <c r="B50" s="292" t="s">
        <v>132</v>
      </c>
      <c r="AG50" s="283">
        <v>0.124</v>
      </c>
      <c r="AH50" s="283">
        <v>28.75</v>
      </c>
      <c r="AI50" s="283">
        <v>38.588999999999999</v>
      </c>
      <c r="AJ50" s="283">
        <v>10.119</v>
      </c>
      <c r="AK50" s="283">
        <v>26.193999999999999</v>
      </c>
      <c r="AL50" s="283">
        <v>27.721</v>
      </c>
      <c r="AM50" s="283">
        <v>9.3190000000000008</v>
      </c>
      <c r="AN50" s="283">
        <v>15.913</v>
      </c>
      <c r="AO50" s="283">
        <v>32.343000000000004</v>
      </c>
      <c r="AP50" s="283">
        <v>64.239000000000004</v>
      </c>
      <c r="AQ50" s="283">
        <v>75.941999999999993</v>
      </c>
      <c r="AR50" s="283">
        <v>61.095999999999997</v>
      </c>
    </row>
    <row r="51" spans="1:44" s="283" customFormat="1" ht="31" customHeight="1" x14ac:dyDescent="0.25">
      <c r="A51" s="292" t="s">
        <v>162</v>
      </c>
      <c r="B51" s="292" t="s">
        <v>132</v>
      </c>
      <c r="AG51" s="283">
        <v>0.79200000000000004</v>
      </c>
      <c r="AH51" s="283">
        <v>185.858</v>
      </c>
      <c r="AI51" s="283">
        <v>159.34399999999999</v>
      </c>
      <c r="AJ51" s="283">
        <v>88.350999999999999</v>
      </c>
      <c r="AK51" s="283">
        <v>202.77699999999999</v>
      </c>
      <c r="AL51" s="283">
        <v>154.01900000000001</v>
      </c>
      <c r="AM51" s="283">
        <v>230.297</v>
      </c>
      <c r="AN51" s="283">
        <v>110.41200000000001</v>
      </c>
      <c r="AO51" s="283">
        <v>269.86500000000001</v>
      </c>
      <c r="AP51" s="283">
        <v>563.73299999999995</v>
      </c>
      <c r="AQ51" s="283">
        <v>733.471</v>
      </c>
      <c r="AR51" s="283">
        <v>378.28800000000001</v>
      </c>
    </row>
    <row r="52" spans="1:44" s="283" customFormat="1" ht="31" customHeight="1" x14ac:dyDescent="0.25">
      <c r="A52" s="292" t="s">
        <v>163</v>
      </c>
      <c r="B52" s="292" t="s">
        <v>132</v>
      </c>
      <c r="AG52" s="283">
        <v>4.2320000000000002</v>
      </c>
      <c r="AH52" s="283">
        <v>212.86099999999999</v>
      </c>
      <c r="AI52" s="283">
        <v>3.8980000000000001</v>
      </c>
      <c r="AJ52" s="283">
        <v>2.19</v>
      </c>
      <c r="AK52" s="283">
        <v>14.816000000000001</v>
      </c>
      <c r="AL52" s="283">
        <v>63.491</v>
      </c>
      <c r="AM52" s="283">
        <v>10.948</v>
      </c>
      <c r="AN52" s="283">
        <v>10.278</v>
      </c>
      <c r="AO52" s="283">
        <v>28.329000000000001</v>
      </c>
      <c r="AP52" s="283">
        <v>19.64</v>
      </c>
      <c r="AQ52" s="283">
        <v>71.728999999999999</v>
      </c>
      <c r="AR52" s="283">
        <v>38.600999999999999</v>
      </c>
    </row>
    <row r="53" spans="1:44" s="283" customFormat="1" ht="31" customHeight="1" x14ac:dyDescent="0.25">
      <c r="A53" s="292" t="s">
        <v>164</v>
      </c>
      <c r="B53" s="292" t="s">
        <v>132</v>
      </c>
      <c r="AG53" s="283">
        <v>0</v>
      </c>
      <c r="AH53" s="283">
        <v>0</v>
      </c>
      <c r="AI53" s="283">
        <v>11.742000000000001</v>
      </c>
      <c r="AJ53" s="283">
        <v>3.9359999999999999</v>
      </c>
      <c r="AK53" s="283">
        <v>0</v>
      </c>
      <c r="AL53" s="283">
        <v>7.3620000000000001</v>
      </c>
      <c r="AM53" s="283">
        <v>0</v>
      </c>
      <c r="AN53" s="283">
        <v>0</v>
      </c>
      <c r="AO53" s="283">
        <v>10.952999999999999</v>
      </c>
      <c r="AP53" s="283">
        <v>11.981999999999999</v>
      </c>
      <c r="AQ53" s="283">
        <v>28.338999999999999</v>
      </c>
      <c r="AR53" s="283">
        <v>34.369</v>
      </c>
    </row>
    <row r="54" spans="1:44" s="283" customFormat="1" ht="31" customHeight="1" x14ac:dyDescent="0.25">
      <c r="A54" s="292" t="s">
        <v>165</v>
      </c>
      <c r="B54" s="292" t="s">
        <v>132</v>
      </c>
      <c r="AG54" s="283">
        <v>14.744</v>
      </c>
      <c r="AH54" s="283">
        <v>3600.1959999999999</v>
      </c>
      <c r="AI54" s="283">
        <v>0</v>
      </c>
      <c r="AJ54" s="283">
        <v>0</v>
      </c>
      <c r="AK54" s="283">
        <v>0</v>
      </c>
      <c r="AL54" s="283">
        <v>0</v>
      </c>
      <c r="AM54" s="283">
        <v>0</v>
      </c>
      <c r="AN54" s="283">
        <v>0</v>
      </c>
      <c r="AO54" s="283">
        <v>0</v>
      </c>
      <c r="AP54" s="283">
        <v>0</v>
      </c>
      <c r="AQ54" s="283">
        <v>0</v>
      </c>
      <c r="AR54" s="283">
        <v>0</v>
      </c>
    </row>
    <row r="55" spans="1:44" s="283" customFormat="1" ht="31" customHeight="1" x14ac:dyDescent="0.25">
      <c r="A55" s="292" t="s">
        <v>166</v>
      </c>
      <c r="B55" s="292" t="s">
        <v>167</v>
      </c>
      <c r="AG55" s="283">
        <v>50</v>
      </c>
      <c r="AH55" s="283">
        <v>5740</v>
      </c>
      <c r="AI55" s="283">
        <v>8718</v>
      </c>
      <c r="AJ55" s="283">
        <v>5282</v>
      </c>
      <c r="AK55" s="283">
        <v>7567</v>
      </c>
      <c r="AL55" s="283">
        <v>6534</v>
      </c>
      <c r="AM55" s="283">
        <v>3170</v>
      </c>
      <c r="AN55" s="283">
        <v>1785</v>
      </c>
      <c r="AO55" s="283">
        <v>4567</v>
      </c>
      <c r="AP55" s="283">
        <v>6445</v>
      </c>
      <c r="AQ55" s="283">
        <v>7532</v>
      </c>
      <c r="AR55" s="283">
        <v>3196</v>
      </c>
    </row>
    <row r="56" spans="1:44" s="283" customFormat="1" ht="31" customHeight="1" x14ac:dyDescent="0.25">
      <c r="A56" s="292" t="s">
        <v>168</v>
      </c>
      <c r="B56" s="292" t="s">
        <v>167</v>
      </c>
      <c r="AG56" s="283">
        <v>1</v>
      </c>
      <c r="AH56" s="283">
        <v>14</v>
      </c>
      <c r="AI56" s="283">
        <v>15</v>
      </c>
      <c r="AJ56" s="283">
        <v>16</v>
      </c>
      <c r="AK56" s="283">
        <v>16</v>
      </c>
      <c r="AL56" s="283">
        <v>14</v>
      </c>
      <c r="AM56" s="283">
        <v>7</v>
      </c>
      <c r="AN56" s="283">
        <v>6</v>
      </c>
      <c r="AO56" s="283">
        <v>23</v>
      </c>
      <c r="AP56" s="283">
        <v>20</v>
      </c>
      <c r="AQ56" s="283">
        <v>31</v>
      </c>
      <c r="AR56" s="283">
        <v>23</v>
      </c>
    </row>
    <row r="57" spans="1:44" s="283" customFormat="1" ht="31" customHeight="1" x14ac:dyDescent="0.25">
      <c r="A57" s="292" t="s">
        <v>169</v>
      </c>
      <c r="B57" s="292" t="s">
        <v>167</v>
      </c>
      <c r="AG57" s="283">
        <v>1</v>
      </c>
      <c r="AH57" s="283">
        <v>20</v>
      </c>
      <c r="AI57" s="283">
        <v>32</v>
      </c>
      <c r="AJ57" s="283">
        <v>22</v>
      </c>
      <c r="AK57" s="283">
        <v>20</v>
      </c>
      <c r="AL57" s="283">
        <v>27</v>
      </c>
      <c r="AM57" s="283">
        <v>14</v>
      </c>
      <c r="AN57" s="283">
        <v>11</v>
      </c>
      <c r="AO57" s="283">
        <v>28</v>
      </c>
      <c r="AP57" s="283">
        <v>43</v>
      </c>
      <c r="AQ57" s="283">
        <v>48</v>
      </c>
      <c r="AR57" s="283">
        <v>30</v>
      </c>
    </row>
    <row r="58" spans="1:44" s="283" customFormat="1" ht="31" customHeight="1" x14ac:dyDescent="0.25">
      <c r="A58" s="292" t="s">
        <v>170</v>
      </c>
      <c r="B58" s="292" t="s">
        <v>167</v>
      </c>
      <c r="AG58" s="283">
        <v>1</v>
      </c>
      <c r="AH58" s="283">
        <v>12</v>
      </c>
      <c r="AI58" s="283">
        <v>22</v>
      </c>
      <c r="AJ58" s="283">
        <v>12</v>
      </c>
      <c r="AK58" s="283">
        <v>12</v>
      </c>
      <c r="AL58" s="283">
        <v>24</v>
      </c>
      <c r="AM58" s="283">
        <v>9</v>
      </c>
      <c r="AN58" s="283">
        <v>5</v>
      </c>
      <c r="AO58" s="283">
        <v>34</v>
      </c>
      <c r="AP58" s="283">
        <v>51</v>
      </c>
      <c r="AQ58" s="283">
        <v>47</v>
      </c>
      <c r="AR58" s="283">
        <v>29</v>
      </c>
    </row>
    <row r="59" spans="1:44" s="283" customFormat="1" ht="31" customHeight="1" x14ac:dyDescent="0.25">
      <c r="A59" s="292" t="s">
        <v>171</v>
      </c>
      <c r="B59" s="292" t="s">
        <v>167</v>
      </c>
      <c r="AG59" s="283">
        <v>1</v>
      </c>
      <c r="AH59" s="283">
        <v>11</v>
      </c>
      <c r="AI59" s="283">
        <v>23</v>
      </c>
      <c r="AJ59" s="283">
        <v>7</v>
      </c>
      <c r="AK59" s="283">
        <v>7</v>
      </c>
      <c r="AL59" s="283">
        <v>31</v>
      </c>
      <c r="AM59" s="283">
        <v>8</v>
      </c>
      <c r="AN59" s="283">
        <v>3</v>
      </c>
      <c r="AO59" s="283">
        <v>25</v>
      </c>
      <c r="AP59" s="283">
        <v>26</v>
      </c>
      <c r="AQ59" s="283">
        <v>30</v>
      </c>
      <c r="AR59" s="283">
        <v>33</v>
      </c>
    </row>
    <row r="60" spans="1:44" s="283" customFormat="1" ht="31" customHeight="1" x14ac:dyDescent="0.25">
      <c r="A60" s="292" t="s">
        <v>172</v>
      </c>
      <c r="B60" s="292" t="s">
        <v>167</v>
      </c>
      <c r="AG60" s="283">
        <v>14</v>
      </c>
      <c r="AH60" s="283">
        <v>1175</v>
      </c>
      <c r="AI60" s="283">
        <v>1164</v>
      </c>
      <c r="AJ60" s="283">
        <v>660</v>
      </c>
      <c r="AK60" s="283">
        <v>903</v>
      </c>
      <c r="AL60" s="283">
        <v>1242</v>
      </c>
      <c r="AM60" s="283">
        <v>117</v>
      </c>
      <c r="AN60" s="283">
        <v>76</v>
      </c>
      <c r="AO60" s="283">
        <v>250</v>
      </c>
      <c r="AP60" s="283">
        <v>235</v>
      </c>
      <c r="AQ60" s="283">
        <v>435</v>
      </c>
      <c r="AR60" s="283">
        <v>208</v>
      </c>
    </row>
    <row r="61" spans="1:44" s="283" customFormat="1" ht="31" customHeight="1" x14ac:dyDescent="0.25">
      <c r="A61" s="292" t="s">
        <v>173</v>
      </c>
      <c r="B61" s="292" t="s">
        <v>167</v>
      </c>
      <c r="AG61" s="283">
        <v>0</v>
      </c>
      <c r="AH61" s="283">
        <v>7</v>
      </c>
      <c r="AI61" s="283">
        <v>12</v>
      </c>
      <c r="AJ61" s="283">
        <v>7</v>
      </c>
      <c r="AK61" s="283">
        <v>10</v>
      </c>
      <c r="AL61" s="283">
        <v>11</v>
      </c>
      <c r="AM61" s="283">
        <v>4</v>
      </c>
      <c r="AN61" s="283">
        <v>2</v>
      </c>
      <c r="AO61" s="283">
        <v>16</v>
      </c>
      <c r="AP61" s="283">
        <v>23</v>
      </c>
      <c r="AQ61" s="283">
        <v>20</v>
      </c>
      <c r="AR61" s="283">
        <v>19</v>
      </c>
    </row>
    <row r="62" spans="1:44" s="283" customFormat="1" ht="31" customHeight="1" x14ac:dyDescent="0.25">
      <c r="A62" s="292" t="s">
        <v>174</v>
      </c>
      <c r="B62" s="292" t="s">
        <v>167</v>
      </c>
      <c r="AG62" s="283">
        <v>1</v>
      </c>
      <c r="AH62" s="283">
        <v>17</v>
      </c>
      <c r="AI62" s="283">
        <v>32</v>
      </c>
      <c r="AJ62" s="283">
        <v>17</v>
      </c>
      <c r="AK62" s="283">
        <v>20</v>
      </c>
      <c r="AL62" s="283">
        <v>36</v>
      </c>
      <c r="AM62" s="283">
        <v>6</v>
      </c>
      <c r="AN62" s="283">
        <v>4</v>
      </c>
      <c r="AO62" s="283">
        <v>24</v>
      </c>
      <c r="AP62" s="283">
        <v>51</v>
      </c>
      <c r="AQ62" s="283">
        <v>52</v>
      </c>
      <c r="AR62" s="283">
        <v>38</v>
      </c>
    </row>
    <row r="63" spans="1:44" s="283" customFormat="1" ht="31" customHeight="1" x14ac:dyDescent="0.25">
      <c r="A63" s="292" t="s">
        <v>175</v>
      </c>
      <c r="B63" s="292" t="s">
        <v>167</v>
      </c>
      <c r="AG63" s="283">
        <v>0</v>
      </c>
      <c r="AH63" s="283">
        <v>18</v>
      </c>
      <c r="AI63" s="283">
        <v>35</v>
      </c>
      <c r="AJ63" s="283">
        <v>16</v>
      </c>
      <c r="AK63" s="283">
        <v>15</v>
      </c>
      <c r="AL63" s="283">
        <v>44</v>
      </c>
      <c r="AM63" s="283">
        <v>7</v>
      </c>
      <c r="AN63" s="283">
        <v>5</v>
      </c>
      <c r="AO63" s="283">
        <v>28</v>
      </c>
      <c r="AP63" s="283">
        <v>50</v>
      </c>
      <c r="AQ63" s="283">
        <v>61</v>
      </c>
      <c r="AR63" s="283">
        <v>60</v>
      </c>
    </row>
    <row r="64" spans="1:44" s="283" customFormat="1" ht="31" customHeight="1" x14ac:dyDescent="0.25">
      <c r="A64" s="292" t="s">
        <v>176</v>
      </c>
      <c r="B64" s="292" t="s">
        <v>167</v>
      </c>
      <c r="AG64" s="283">
        <v>23</v>
      </c>
      <c r="AH64" s="283">
        <v>2915</v>
      </c>
      <c r="AI64" s="283">
        <v>4821</v>
      </c>
      <c r="AJ64" s="283">
        <v>2880</v>
      </c>
      <c r="AK64" s="283">
        <v>4489</v>
      </c>
      <c r="AL64" s="283">
        <v>3620</v>
      </c>
      <c r="AM64" s="283">
        <v>1597</v>
      </c>
      <c r="AN64" s="283">
        <v>748</v>
      </c>
      <c r="AO64" s="283">
        <v>1448</v>
      </c>
      <c r="AP64" s="283">
        <v>1531</v>
      </c>
      <c r="AQ64" s="283">
        <v>2376</v>
      </c>
      <c r="AR64" s="283">
        <v>800</v>
      </c>
    </row>
    <row r="65" spans="1:44" s="283" customFormat="1" ht="31" customHeight="1" x14ac:dyDescent="0.25">
      <c r="A65" s="292" t="s">
        <v>177</v>
      </c>
      <c r="B65" s="292" t="s">
        <v>167</v>
      </c>
      <c r="AG65" s="283">
        <v>0</v>
      </c>
      <c r="AH65" s="283">
        <v>6</v>
      </c>
      <c r="AI65" s="283">
        <v>8</v>
      </c>
      <c r="AJ65" s="283">
        <v>3</v>
      </c>
      <c r="AK65" s="283">
        <v>5</v>
      </c>
      <c r="AL65" s="283">
        <v>5</v>
      </c>
      <c r="AM65" s="283">
        <v>2</v>
      </c>
      <c r="AN65" s="283">
        <v>1</v>
      </c>
      <c r="AO65" s="283">
        <v>16</v>
      </c>
      <c r="AP65" s="283">
        <v>12</v>
      </c>
      <c r="AQ65" s="283">
        <v>8</v>
      </c>
      <c r="AR65" s="283">
        <v>10</v>
      </c>
    </row>
    <row r="66" spans="1:44" s="283" customFormat="1" ht="31" customHeight="1" x14ac:dyDescent="0.25">
      <c r="A66" s="292" t="s">
        <v>178</v>
      </c>
      <c r="B66" s="292" t="s">
        <v>167</v>
      </c>
      <c r="AG66" s="283">
        <v>1</v>
      </c>
      <c r="AH66" s="283">
        <v>53</v>
      </c>
      <c r="AI66" s="283">
        <v>95</v>
      </c>
      <c r="AJ66" s="283">
        <v>48</v>
      </c>
      <c r="AK66" s="283">
        <v>56</v>
      </c>
      <c r="AL66" s="283">
        <v>63</v>
      </c>
      <c r="AM66" s="283">
        <v>19</v>
      </c>
      <c r="AN66" s="283">
        <v>11</v>
      </c>
      <c r="AO66" s="283">
        <v>108</v>
      </c>
      <c r="AP66" s="283">
        <v>141</v>
      </c>
      <c r="AQ66" s="283">
        <v>111</v>
      </c>
      <c r="AR66" s="283">
        <v>92</v>
      </c>
    </row>
    <row r="67" spans="1:44" s="283" customFormat="1" ht="31" customHeight="1" x14ac:dyDescent="0.25">
      <c r="A67" s="292" t="s">
        <v>179</v>
      </c>
      <c r="B67" s="292" t="s">
        <v>167</v>
      </c>
      <c r="AG67" s="283">
        <v>3</v>
      </c>
      <c r="AH67" s="283">
        <v>116</v>
      </c>
      <c r="AI67" s="283">
        <v>216</v>
      </c>
      <c r="AJ67" s="283">
        <v>113</v>
      </c>
      <c r="AK67" s="283">
        <v>133</v>
      </c>
      <c r="AL67" s="283">
        <v>141</v>
      </c>
      <c r="AM67" s="283">
        <v>46</v>
      </c>
      <c r="AN67" s="283">
        <v>84</v>
      </c>
      <c r="AO67" s="283">
        <v>238</v>
      </c>
      <c r="AP67" s="283">
        <v>363</v>
      </c>
      <c r="AQ67" s="283">
        <v>344</v>
      </c>
      <c r="AR67" s="283">
        <v>230</v>
      </c>
    </row>
    <row r="68" spans="1:44" s="283" customFormat="1" ht="31" customHeight="1" x14ac:dyDescent="0.25">
      <c r="A68" s="292" t="s">
        <v>180</v>
      </c>
      <c r="B68" s="292" t="s">
        <v>167</v>
      </c>
      <c r="AG68" s="283">
        <v>6</v>
      </c>
      <c r="AH68" s="283">
        <v>1375</v>
      </c>
      <c r="AI68" s="283">
        <v>2244</v>
      </c>
      <c r="AJ68" s="283">
        <v>1482</v>
      </c>
      <c r="AK68" s="283">
        <v>1884</v>
      </c>
      <c r="AL68" s="283">
        <v>1272</v>
      </c>
      <c r="AM68" s="283">
        <v>1335</v>
      </c>
      <c r="AN68" s="283">
        <v>827</v>
      </c>
      <c r="AO68" s="283">
        <v>2329</v>
      </c>
      <c r="AP68" s="283">
        <v>3900</v>
      </c>
      <c r="AQ68" s="283">
        <v>3970</v>
      </c>
      <c r="AR68" s="283">
        <v>1623</v>
      </c>
    </row>
    <row r="69" spans="1:44" s="283" customFormat="1" ht="31" customHeight="1" x14ac:dyDescent="0.25">
      <c r="A69" s="292" t="s">
        <v>181</v>
      </c>
      <c r="B69" s="292" t="s">
        <v>167</v>
      </c>
      <c r="AG69" s="283">
        <v>118</v>
      </c>
      <c r="AH69" s="283">
        <v>2743</v>
      </c>
      <c r="AI69" s="283">
        <v>169</v>
      </c>
      <c r="AJ69" s="283">
        <v>93</v>
      </c>
      <c r="AK69" s="283">
        <v>309</v>
      </c>
      <c r="AL69" s="283">
        <v>900</v>
      </c>
      <c r="AM69" s="283">
        <v>84</v>
      </c>
      <c r="AN69" s="283">
        <v>99</v>
      </c>
      <c r="AO69" s="283">
        <v>312</v>
      </c>
      <c r="AP69" s="283">
        <v>180</v>
      </c>
      <c r="AQ69" s="283">
        <v>411</v>
      </c>
      <c r="AR69" s="283">
        <v>191</v>
      </c>
    </row>
    <row r="70" spans="1:44" s="283" customFormat="1" ht="31" customHeight="1" x14ac:dyDescent="0.25">
      <c r="A70" s="292" t="s">
        <v>182</v>
      </c>
      <c r="B70" s="292" t="s">
        <v>167</v>
      </c>
      <c r="AG70" s="283">
        <v>0</v>
      </c>
      <c r="AH70" s="283">
        <v>0</v>
      </c>
      <c r="AI70" s="283">
        <v>86</v>
      </c>
      <c r="AJ70" s="283">
        <v>52</v>
      </c>
      <c r="AK70" s="283">
        <v>0</v>
      </c>
      <c r="AL70" s="283">
        <v>50</v>
      </c>
      <c r="AM70" s="283">
        <v>0</v>
      </c>
      <c r="AN70" s="283">
        <v>0</v>
      </c>
      <c r="AO70" s="283">
        <v>41</v>
      </c>
      <c r="AP70" s="283">
        <v>82</v>
      </c>
      <c r="AQ70" s="283">
        <v>80</v>
      </c>
      <c r="AR70" s="283">
        <v>88</v>
      </c>
    </row>
    <row r="71" spans="1:44" s="283" customFormat="1" ht="31" customHeight="1" x14ac:dyDescent="0.25">
      <c r="A71" s="292" t="s">
        <v>183</v>
      </c>
      <c r="B71" s="292" t="s">
        <v>167</v>
      </c>
      <c r="AG71" s="283">
        <v>259</v>
      </c>
      <c r="AH71" s="283">
        <v>19621</v>
      </c>
      <c r="AI71" s="283">
        <v>0</v>
      </c>
      <c r="AJ71" s="283">
        <v>0</v>
      </c>
      <c r="AK71" s="283">
        <v>0</v>
      </c>
      <c r="AL71" s="283">
        <v>0</v>
      </c>
      <c r="AM71" s="283">
        <v>0</v>
      </c>
      <c r="AN71" s="283">
        <v>0</v>
      </c>
      <c r="AO71" s="283">
        <v>0</v>
      </c>
      <c r="AP71" s="283">
        <v>0</v>
      </c>
      <c r="AQ71" s="283">
        <v>0</v>
      </c>
      <c r="AR71" s="283">
        <v>0</v>
      </c>
    </row>
    <row r="72" spans="1:44" s="283" customFormat="1" ht="31" customHeight="1" x14ac:dyDescent="0.25">
      <c r="A72" s="292" t="s">
        <v>184</v>
      </c>
      <c r="B72" s="292" t="s">
        <v>185</v>
      </c>
      <c r="AG72" s="283">
        <v>39.25</v>
      </c>
      <c r="AH72" s="283">
        <v>4694.25</v>
      </c>
      <c r="AI72" s="283">
        <v>6679</v>
      </c>
      <c r="AJ72" s="283">
        <v>3982.25</v>
      </c>
      <c r="AK72" s="283">
        <v>5782.75</v>
      </c>
      <c r="AL72" s="283">
        <v>5286.5</v>
      </c>
      <c r="AM72" s="283">
        <v>2320.25</v>
      </c>
      <c r="AN72" s="283">
        <v>1297.25</v>
      </c>
      <c r="AO72" s="283">
        <v>3046.75</v>
      </c>
      <c r="AP72" s="283">
        <v>4032.25</v>
      </c>
      <c r="AQ72" s="283">
        <v>5094.25</v>
      </c>
      <c r="AR72" s="283">
        <v>2211</v>
      </c>
    </row>
    <row r="73" spans="1:44" s="283" customFormat="1" ht="31" customHeight="1" x14ac:dyDescent="0.25">
      <c r="A73" s="292" t="s">
        <v>186</v>
      </c>
      <c r="B73" s="292" t="s">
        <v>185</v>
      </c>
      <c r="AG73" s="283">
        <v>0</v>
      </c>
      <c r="AH73" s="283">
        <v>0</v>
      </c>
      <c r="AI73" s="283">
        <v>0</v>
      </c>
      <c r="AJ73" s="283">
        <v>0</v>
      </c>
      <c r="AK73" s="283">
        <v>0</v>
      </c>
      <c r="AL73" s="283">
        <v>0</v>
      </c>
      <c r="AM73" s="283">
        <v>0</v>
      </c>
      <c r="AN73" s="283">
        <v>0</v>
      </c>
      <c r="AO73" s="283">
        <v>0</v>
      </c>
      <c r="AP73" s="283">
        <v>0</v>
      </c>
      <c r="AQ73" s="283">
        <v>0</v>
      </c>
      <c r="AR73" s="283">
        <v>0</v>
      </c>
    </row>
    <row r="74" spans="1:44" s="283" customFormat="1" ht="31" customHeight="1" x14ac:dyDescent="0.25">
      <c r="A74" s="292" t="s">
        <v>187</v>
      </c>
      <c r="B74" s="292" t="s">
        <v>185</v>
      </c>
      <c r="AG74" s="283">
        <v>0.5</v>
      </c>
      <c r="AH74" s="283">
        <v>10.75</v>
      </c>
      <c r="AI74" s="283">
        <v>18.5</v>
      </c>
      <c r="AJ74" s="283">
        <v>12.25</v>
      </c>
      <c r="AK74" s="283">
        <v>10</v>
      </c>
      <c r="AL74" s="283">
        <v>17</v>
      </c>
      <c r="AM74" s="283">
        <v>8.25</v>
      </c>
      <c r="AN74" s="283">
        <v>5.75</v>
      </c>
      <c r="AO74" s="283">
        <v>17.75</v>
      </c>
      <c r="AP74" s="283">
        <v>25.5</v>
      </c>
      <c r="AQ74" s="283">
        <v>30.75</v>
      </c>
      <c r="AR74" s="283">
        <v>16.75</v>
      </c>
    </row>
    <row r="75" spans="1:44" s="283" customFormat="1" ht="31" customHeight="1" x14ac:dyDescent="0.25">
      <c r="A75" s="292" t="s">
        <v>188</v>
      </c>
      <c r="B75" s="292" t="s">
        <v>185</v>
      </c>
      <c r="AG75" s="283">
        <v>1.25</v>
      </c>
      <c r="AH75" s="283">
        <v>18.75</v>
      </c>
      <c r="AI75" s="283">
        <v>33.5</v>
      </c>
      <c r="AJ75" s="283">
        <v>18.75</v>
      </c>
      <c r="AK75" s="283">
        <v>18.5</v>
      </c>
      <c r="AL75" s="283">
        <v>39.25</v>
      </c>
      <c r="AM75" s="283">
        <v>15</v>
      </c>
      <c r="AN75" s="283">
        <v>9</v>
      </c>
      <c r="AO75" s="283">
        <v>56.25</v>
      </c>
      <c r="AP75" s="283">
        <v>77.75</v>
      </c>
      <c r="AQ75" s="283">
        <v>80.75</v>
      </c>
      <c r="AR75" s="283">
        <v>53.25</v>
      </c>
    </row>
    <row r="76" spans="1:44" s="283" customFormat="1" ht="31" customHeight="1" x14ac:dyDescent="0.25">
      <c r="A76" s="292" t="s">
        <v>189</v>
      </c>
      <c r="B76" s="292" t="s">
        <v>185</v>
      </c>
      <c r="AG76" s="283">
        <v>1.25</v>
      </c>
      <c r="AH76" s="283">
        <v>35.5</v>
      </c>
      <c r="AI76" s="283">
        <v>67</v>
      </c>
      <c r="AJ76" s="283">
        <v>34.75</v>
      </c>
      <c r="AK76" s="283">
        <v>31.75</v>
      </c>
      <c r="AL76" s="283">
        <v>85.25</v>
      </c>
      <c r="AM76" s="283">
        <v>18.25</v>
      </c>
      <c r="AN76" s="283">
        <v>11</v>
      </c>
      <c r="AO76" s="283">
        <v>73.25</v>
      </c>
      <c r="AP76" s="283">
        <v>88</v>
      </c>
      <c r="AQ76" s="283">
        <v>115.25</v>
      </c>
      <c r="AR76" s="283">
        <v>102</v>
      </c>
    </row>
    <row r="77" spans="1:44" s="283" customFormat="1" ht="31" customHeight="1" x14ac:dyDescent="0.25">
      <c r="A77" s="292" t="s">
        <v>190</v>
      </c>
      <c r="B77" s="292" t="s">
        <v>185</v>
      </c>
      <c r="AG77" s="283">
        <v>17.25</v>
      </c>
      <c r="AH77" s="283">
        <v>1911.75</v>
      </c>
      <c r="AI77" s="283">
        <v>1877.75</v>
      </c>
      <c r="AJ77" s="283">
        <v>1121</v>
      </c>
      <c r="AK77" s="283">
        <v>1500.75</v>
      </c>
      <c r="AL77" s="283">
        <v>1941</v>
      </c>
      <c r="AM77" s="283">
        <v>345</v>
      </c>
      <c r="AN77" s="283">
        <v>287.75</v>
      </c>
      <c r="AO77" s="283">
        <v>681.25</v>
      </c>
      <c r="AP77" s="283">
        <v>815.75</v>
      </c>
      <c r="AQ77" s="283">
        <v>1088.25</v>
      </c>
      <c r="AR77" s="283">
        <v>582.25</v>
      </c>
    </row>
    <row r="78" spans="1:44" s="283" customFormat="1" ht="31" customHeight="1" x14ac:dyDescent="0.25">
      <c r="A78" s="292" t="s">
        <v>191</v>
      </c>
      <c r="B78" s="292" t="s">
        <v>185</v>
      </c>
      <c r="AG78" s="283">
        <v>0</v>
      </c>
      <c r="AH78" s="283">
        <v>0.5</v>
      </c>
      <c r="AI78" s="283">
        <v>0.75</v>
      </c>
      <c r="AJ78" s="283">
        <v>0.5</v>
      </c>
      <c r="AK78" s="283">
        <v>0.75</v>
      </c>
      <c r="AL78" s="283">
        <v>0.75</v>
      </c>
      <c r="AM78" s="283">
        <v>0.25</v>
      </c>
      <c r="AN78" s="283">
        <v>0</v>
      </c>
      <c r="AO78" s="283">
        <v>1.25</v>
      </c>
      <c r="AP78" s="283">
        <v>2</v>
      </c>
      <c r="AQ78" s="283">
        <v>1.75</v>
      </c>
      <c r="AR78" s="283">
        <v>1.75</v>
      </c>
    </row>
    <row r="79" spans="1:44" s="283" customFormat="1" ht="31" customHeight="1" x14ac:dyDescent="0.25">
      <c r="A79" s="292" t="s">
        <v>192</v>
      </c>
      <c r="B79" s="292" t="s">
        <v>185</v>
      </c>
      <c r="AG79" s="283">
        <v>0</v>
      </c>
      <c r="AH79" s="283">
        <v>3.5</v>
      </c>
      <c r="AI79" s="283">
        <v>5.75</v>
      </c>
      <c r="AJ79" s="283">
        <v>3</v>
      </c>
      <c r="AK79" s="283">
        <v>3.75</v>
      </c>
      <c r="AL79" s="283">
        <v>7.25</v>
      </c>
      <c r="AM79" s="283">
        <v>1.25</v>
      </c>
      <c r="AN79" s="283">
        <v>0.75</v>
      </c>
      <c r="AO79" s="283">
        <v>5.75</v>
      </c>
      <c r="AP79" s="283">
        <v>11.5</v>
      </c>
      <c r="AQ79" s="283">
        <v>12</v>
      </c>
      <c r="AR79" s="283">
        <v>8.75</v>
      </c>
    </row>
    <row r="80" spans="1:44" s="283" customFormat="1" ht="31" customHeight="1" x14ac:dyDescent="0.25">
      <c r="A80" s="292" t="s">
        <v>193</v>
      </c>
      <c r="B80" s="292" t="s">
        <v>185</v>
      </c>
      <c r="AG80" s="283">
        <v>0</v>
      </c>
      <c r="AH80" s="283">
        <v>7</v>
      </c>
      <c r="AI80" s="283">
        <v>13</v>
      </c>
      <c r="AJ80" s="283">
        <v>5.75</v>
      </c>
      <c r="AK80" s="283">
        <v>5.25</v>
      </c>
      <c r="AL80" s="283">
        <v>17.25</v>
      </c>
      <c r="AM80" s="283">
        <v>3</v>
      </c>
      <c r="AN80" s="283">
        <v>2.25</v>
      </c>
      <c r="AO80" s="283">
        <v>13.25</v>
      </c>
      <c r="AP80" s="283">
        <v>21</v>
      </c>
      <c r="AQ80" s="283">
        <v>26.75</v>
      </c>
      <c r="AR80" s="283">
        <v>27.25</v>
      </c>
    </row>
    <row r="81" spans="1:44" s="283" customFormat="1" ht="31" customHeight="1" x14ac:dyDescent="0.25">
      <c r="A81" s="292" t="s">
        <v>194</v>
      </c>
      <c r="B81" s="292" t="s">
        <v>185</v>
      </c>
      <c r="AG81" s="283">
        <v>15.75</v>
      </c>
      <c r="AH81" s="283">
        <v>2136.25</v>
      </c>
      <c r="AI81" s="283">
        <v>3714</v>
      </c>
      <c r="AJ81" s="283">
        <v>2175.25</v>
      </c>
      <c r="AK81" s="283">
        <v>3438.5</v>
      </c>
      <c r="AL81" s="283">
        <v>2648.25</v>
      </c>
      <c r="AM81" s="283">
        <v>1279</v>
      </c>
      <c r="AN81" s="283">
        <v>593.75</v>
      </c>
      <c r="AO81" s="283">
        <v>1133</v>
      </c>
      <c r="AP81" s="283">
        <v>1188</v>
      </c>
      <c r="AQ81" s="283">
        <v>1814.5</v>
      </c>
      <c r="AR81" s="283">
        <v>633.75</v>
      </c>
    </row>
    <row r="82" spans="1:44" s="283" customFormat="1" ht="31" customHeight="1" x14ac:dyDescent="0.25">
      <c r="A82" s="292" t="s">
        <v>195</v>
      </c>
      <c r="B82" s="292" t="s">
        <v>185</v>
      </c>
      <c r="AG82" s="283">
        <v>0</v>
      </c>
      <c r="AH82" s="283">
        <v>0.25</v>
      </c>
      <c r="AI82" s="283">
        <v>0.25</v>
      </c>
      <c r="AJ82" s="283">
        <v>0</v>
      </c>
      <c r="AK82" s="283">
        <v>0</v>
      </c>
      <c r="AL82" s="283">
        <v>0.25</v>
      </c>
      <c r="AM82" s="283">
        <v>0</v>
      </c>
      <c r="AN82" s="283">
        <v>0</v>
      </c>
      <c r="AO82" s="283">
        <v>0.75</v>
      </c>
      <c r="AP82" s="283">
        <v>0.75</v>
      </c>
      <c r="AQ82" s="283">
        <v>0.5</v>
      </c>
      <c r="AR82" s="283">
        <v>0.5</v>
      </c>
    </row>
    <row r="83" spans="1:44" s="283" customFormat="1" ht="31" customHeight="1" x14ac:dyDescent="0.25">
      <c r="A83" s="292" t="s">
        <v>196</v>
      </c>
      <c r="B83" s="292" t="s">
        <v>185</v>
      </c>
      <c r="AG83" s="283">
        <v>0</v>
      </c>
      <c r="AH83" s="283">
        <v>5.25</v>
      </c>
      <c r="AI83" s="283">
        <v>10</v>
      </c>
      <c r="AJ83" s="283">
        <v>5</v>
      </c>
      <c r="AK83" s="283">
        <v>5.75</v>
      </c>
      <c r="AL83" s="283">
        <v>7.5</v>
      </c>
      <c r="AM83" s="283">
        <v>2.25</v>
      </c>
      <c r="AN83" s="283">
        <v>1.25</v>
      </c>
      <c r="AO83" s="283">
        <v>12</v>
      </c>
      <c r="AP83" s="283">
        <v>17.75</v>
      </c>
      <c r="AQ83" s="283">
        <v>15</v>
      </c>
      <c r="AR83" s="283">
        <v>11</v>
      </c>
    </row>
    <row r="84" spans="1:44" s="283" customFormat="1" ht="31" customHeight="1" x14ac:dyDescent="0.25">
      <c r="A84" s="292" t="s">
        <v>197</v>
      </c>
      <c r="B84" s="292" t="s">
        <v>185</v>
      </c>
      <c r="AG84" s="283">
        <v>0.5</v>
      </c>
      <c r="AH84" s="283">
        <v>20.25</v>
      </c>
      <c r="AI84" s="283">
        <v>38.25</v>
      </c>
      <c r="AJ84" s="283">
        <v>20</v>
      </c>
      <c r="AK84" s="283">
        <v>22.75</v>
      </c>
      <c r="AL84" s="283">
        <v>28.25</v>
      </c>
      <c r="AM84" s="283">
        <v>9.25</v>
      </c>
      <c r="AN84" s="283">
        <v>16.75</v>
      </c>
      <c r="AO84" s="283">
        <v>46</v>
      </c>
      <c r="AP84" s="283">
        <v>74</v>
      </c>
      <c r="AQ84" s="283">
        <v>74.75</v>
      </c>
      <c r="AR84" s="283">
        <v>46.25</v>
      </c>
    </row>
    <row r="85" spans="1:44" s="283" customFormat="1" ht="31" customHeight="1" x14ac:dyDescent="0.25">
      <c r="A85" s="292" t="s">
        <v>198</v>
      </c>
      <c r="B85" s="292" t="s">
        <v>185</v>
      </c>
      <c r="AG85" s="283">
        <v>1.75</v>
      </c>
      <c r="AH85" s="283">
        <v>543.25</v>
      </c>
      <c r="AI85" s="283">
        <v>898.75</v>
      </c>
      <c r="AJ85" s="283">
        <v>584.75</v>
      </c>
      <c r="AK85" s="283">
        <v>744</v>
      </c>
      <c r="AL85" s="283">
        <v>493.25</v>
      </c>
      <c r="AM85" s="283">
        <v>637.25</v>
      </c>
      <c r="AN85" s="283">
        <v>367.5</v>
      </c>
      <c r="AO85" s="283">
        <v>1004.75</v>
      </c>
      <c r="AP85" s="283">
        <v>1709.5</v>
      </c>
      <c r="AQ85" s="283">
        <v>1833</v>
      </c>
      <c r="AR85" s="283">
        <v>726</v>
      </c>
    </row>
    <row r="86" spans="1:44" s="283" customFormat="1" ht="31" customHeight="1" x14ac:dyDescent="0.25">
      <c r="A86" s="292" t="s">
        <v>199</v>
      </c>
      <c r="B86" s="292" t="s">
        <v>185</v>
      </c>
      <c r="AG86" s="283">
        <v>97.25</v>
      </c>
      <c r="AH86" s="283">
        <v>1987.25</v>
      </c>
      <c r="AI86" s="283">
        <v>130</v>
      </c>
      <c r="AJ86" s="283">
        <v>78.25</v>
      </c>
      <c r="AK86" s="283">
        <v>233.75</v>
      </c>
      <c r="AL86" s="283">
        <v>650.25</v>
      </c>
      <c r="AM86" s="283">
        <v>48.75</v>
      </c>
      <c r="AN86" s="283">
        <v>66.25</v>
      </c>
      <c r="AO86" s="283">
        <v>178.5</v>
      </c>
      <c r="AP86" s="283">
        <v>93.5</v>
      </c>
      <c r="AQ86" s="283">
        <v>228</v>
      </c>
      <c r="AR86" s="283">
        <v>105.25</v>
      </c>
    </row>
    <row r="87" spans="1:44" s="283" customFormat="1" ht="31" customHeight="1" x14ac:dyDescent="0.25">
      <c r="A87" s="292" t="s">
        <v>200</v>
      </c>
      <c r="B87" s="292" t="s">
        <v>185</v>
      </c>
      <c r="AG87" s="283">
        <v>0</v>
      </c>
      <c r="AH87" s="283">
        <v>0</v>
      </c>
      <c r="AI87" s="283">
        <v>79.25</v>
      </c>
      <c r="AJ87" s="283">
        <v>48.25</v>
      </c>
      <c r="AK87" s="283">
        <v>0</v>
      </c>
      <c r="AL87" s="283">
        <v>58</v>
      </c>
      <c r="AM87" s="283">
        <v>0</v>
      </c>
      <c r="AN87" s="283">
        <v>0</v>
      </c>
      <c r="AO87" s="283">
        <v>47.25</v>
      </c>
      <c r="AP87" s="283">
        <v>52</v>
      </c>
      <c r="AQ87" s="283">
        <v>46.5</v>
      </c>
      <c r="AR87" s="283">
        <v>46.5</v>
      </c>
    </row>
    <row r="88" spans="1:44" s="283" customFormat="1" ht="31" customHeight="1" x14ac:dyDescent="0.25">
      <c r="A88" s="292" t="s">
        <v>201</v>
      </c>
      <c r="B88" s="292" t="s">
        <v>185</v>
      </c>
      <c r="AG88" s="283">
        <v>253.75</v>
      </c>
      <c r="AH88" s="283">
        <v>15045.75</v>
      </c>
      <c r="AI88" s="283">
        <v>0</v>
      </c>
      <c r="AJ88" s="283">
        <v>0</v>
      </c>
      <c r="AK88" s="283">
        <v>0</v>
      </c>
      <c r="AL88" s="283">
        <v>0</v>
      </c>
      <c r="AM88" s="283">
        <v>0</v>
      </c>
      <c r="AN88" s="283">
        <v>0</v>
      </c>
      <c r="AO88" s="283">
        <v>0</v>
      </c>
      <c r="AP88" s="283">
        <v>0</v>
      </c>
      <c r="AQ88" s="283">
        <v>0</v>
      </c>
      <c r="AR88" s="283">
        <v>0</v>
      </c>
    </row>
    <row r="89" spans="1:44" s="283" customFormat="1" ht="31" customHeight="1" x14ac:dyDescent="0.25">
      <c r="A89" s="292" t="s">
        <v>202</v>
      </c>
      <c r="B89" s="292" t="s">
        <v>203</v>
      </c>
      <c r="AG89" s="283">
        <v>1.0944444444444399</v>
      </c>
      <c r="AH89" s="283">
        <v>54.280555555555502</v>
      </c>
      <c r="AI89" s="283">
        <v>84.655555555555495</v>
      </c>
      <c r="AJ89" s="283">
        <v>51.15</v>
      </c>
      <c r="AK89" s="283">
        <v>67.241666666666603</v>
      </c>
      <c r="AL89" s="283">
        <v>66.644444444444403</v>
      </c>
      <c r="AM89" s="283">
        <v>27.4166666666666</v>
      </c>
      <c r="AN89" s="283">
        <v>15.9722222222222</v>
      </c>
      <c r="AO89" s="283">
        <v>43.988888888888802</v>
      </c>
      <c r="AP89" s="283">
        <v>56.061111111111103</v>
      </c>
      <c r="AQ89" s="283">
        <v>70.255555555555503</v>
      </c>
      <c r="AR89" s="283">
        <v>33.924999999999997</v>
      </c>
    </row>
    <row r="90" spans="1:44" s="283" customFormat="1" ht="31" customHeight="1" x14ac:dyDescent="0.25">
      <c r="A90" s="292" t="s">
        <v>204</v>
      </c>
      <c r="B90" s="292" t="s">
        <v>203</v>
      </c>
      <c r="AG90" s="283">
        <v>0.51666666666666605</v>
      </c>
      <c r="AH90" s="283">
        <v>4.0138888888888804</v>
      </c>
      <c r="AI90" s="283">
        <v>13.533333333333299</v>
      </c>
      <c r="AJ90" s="283">
        <v>8.1972222222222193</v>
      </c>
      <c r="AK90" s="283">
        <v>7.5805555555555504</v>
      </c>
      <c r="AL90" s="283">
        <v>7.23888888888888</v>
      </c>
      <c r="AM90" s="283">
        <v>1.575</v>
      </c>
      <c r="AN90" s="283">
        <v>1.3472222222222201</v>
      </c>
      <c r="AO90" s="283">
        <v>5.86388888888888</v>
      </c>
      <c r="AP90" s="283">
        <v>5.8</v>
      </c>
      <c r="AQ90" s="283">
        <v>7.86388888888888</v>
      </c>
      <c r="AR90" s="283">
        <v>5.5777777777777704</v>
      </c>
    </row>
    <row r="91" spans="1:44" s="283" customFormat="1" ht="31" customHeight="1" x14ac:dyDescent="0.25">
      <c r="A91" s="292" t="s">
        <v>205</v>
      </c>
      <c r="B91" s="292" t="s">
        <v>203</v>
      </c>
      <c r="AG91" s="283">
        <v>6.1111111111111102E-2</v>
      </c>
      <c r="AH91" s="283">
        <v>1.3361111111111099</v>
      </c>
      <c r="AI91" s="283">
        <v>2.13888888888888</v>
      </c>
      <c r="AJ91" s="283">
        <v>1.43333333333333</v>
      </c>
      <c r="AK91" s="283">
        <v>1.2138888888888799</v>
      </c>
      <c r="AL91" s="283">
        <v>2</v>
      </c>
      <c r="AM91" s="283">
        <v>1.06666666666666</v>
      </c>
      <c r="AN91" s="283">
        <v>0.66666666666666596</v>
      </c>
      <c r="AO91" s="283">
        <v>2.1749999999999998</v>
      </c>
      <c r="AP91" s="283">
        <v>3.1944444444444402</v>
      </c>
      <c r="AQ91" s="283">
        <v>3.74722222222222</v>
      </c>
      <c r="AR91" s="283">
        <v>2.1055555555555499</v>
      </c>
    </row>
    <row r="92" spans="1:44" s="283" customFormat="1" ht="31" customHeight="1" x14ac:dyDescent="0.25">
      <c r="A92" s="292" t="s">
        <v>206</v>
      </c>
      <c r="B92" s="292" t="s">
        <v>203</v>
      </c>
      <c r="AG92" s="283">
        <v>5.5555555555555497E-2</v>
      </c>
      <c r="AH92" s="283">
        <v>0.73055555555555496</v>
      </c>
      <c r="AI92" s="283">
        <v>1.3388888888888799</v>
      </c>
      <c r="AJ92" s="283">
        <v>0.72499999999999998</v>
      </c>
      <c r="AK92" s="283">
        <v>0.73611111111111105</v>
      </c>
      <c r="AL92" s="283">
        <v>1.5222222222222199</v>
      </c>
      <c r="AM92" s="283">
        <v>0.56944444444444398</v>
      </c>
      <c r="AN92" s="283">
        <v>0.33888888888888802</v>
      </c>
      <c r="AO92" s="283">
        <v>2.17777777777777</v>
      </c>
      <c r="AP92" s="283">
        <v>2.99166666666666</v>
      </c>
      <c r="AQ92" s="283">
        <v>3.1277777777777702</v>
      </c>
      <c r="AR92" s="283">
        <v>2.0249999999999999</v>
      </c>
    </row>
    <row r="93" spans="1:44" s="283" customFormat="1" ht="31" customHeight="1" x14ac:dyDescent="0.25">
      <c r="A93" s="292" t="s">
        <v>207</v>
      </c>
      <c r="B93" s="292" t="s">
        <v>203</v>
      </c>
      <c r="AG93" s="283">
        <v>2.5000000000000001E-2</v>
      </c>
      <c r="AH93" s="283">
        <v>0.67500000000000004</v>
      </c>
      <c r="AI93" s="283">
        <v>1.2805555555555499</v>
      </c>
      <c r="AJ93" s="283">
        <v>0.66111111111111098</v>
      </c>
      <c r="AK93" s="283">
        <v>0.59722222222222199</v>
      </c>
      <c r="AL93" s="283">
        <v>1.61666666666666</v>
      </c>
      <c r="AM93" s="283">
        <v>0.358333333333333</v>
      </c>
      <c r="AN93" s="283">
        <v>0.211111111111111</v>
      </c>
      <c r="AO93" s="283">
        <v>1.4027777777777699</v>
      </c>
      <c r="AP93" s="283">
        <v>1.69166666666666</v>
      </c>
      <c r="AQ93" s="283">
        <v>2.2000000000000002</v>
      </c>
      <c r="AR93" s="283">
        <v>1.95277777777777</v>
      </c>
    </row>
    <row r="94" spans="1:44" s="283" customFormat="1" ht="31" customHeight="1" x14ac:dyDescent="0.25">
      <c r="A94" s="292" t="s">
        <v>208</v>
      </c>
      <c r="B94" s="292" t="s">
        <v>203</v>
      </c>
      <c r="AG94" s="283">
        <v>0.202777777777777</v>
      </c>
      <c r="AH94" s="283">
        <v>19.622222222222199</v>
      </c>
      <c r="AI94" s="283">
        <v>18.8944444444444</v>
      </c>
      <c r="AJ94" s="283">
        <v>11.4722222222222</v>
      </c>
      <c r="AK94" s="283">
        <v>14.980555555555499</v>
      </c>
      <c r="AL94" s="283">
        <v>20.3</v>
      </c>
      <c r="AM94" s="283">
        <v>3.6361111111111102</v>
      </c>
      <c r="AN94" s="283">
        <v>3.0277777777777701</v>
      </c>
      <c r="AO94" s="283">
        <v>7.5638888888888802</v>
      </c>
      <c r="AP94" s="283">
        <v>8.86666666666666</v>
      </c>
      <c r="AQ94" s="283">
        <v>11.8333333333333</v>
      </c>
      <c r="AR94" s="283">
        <v>6.1749999999999998</v>
      </c>
    </row>
    <row r="95" spans="1:44" s="283" customFormat="1" ht="31" customHeight="1" x14ac:dyDescent="0.25">
      <c r="A95" s="292" t="s">
        <v>209</v>
      </c>
      <c r="B95" s="292" t="s">
        <v>203</v>
      </c>
      <c r="AG95" s="283">
        <v>0</v>
      </c>
      <c r="AH95" s="283">
        <v>5.5555555555555497E-2</v>
      </c>
      <c r="AI95" s="283">
        <v>9.1666666666666605E-2</v>
      </c>
      <c r="AJ95" s="283">
        <v>5.2777777777777701E-2</v>
      </c>
      <c r="AK95" s="283">
        <v>6.9444444444444406E-2</v>
      </c>
      <c r="AL95" s="283">
        <v>8.6111111111111097E-2</v>
      </c>
      <c r="AM95" s="283">
        <v>3.3333333333333298E-2</v>
      </c>
      <c r="AN95" s="283">
        <v>1.38888888888888E-2</v>
      </c>
      <c r="AO95" s="283">
        <v>0.13611111111111099</v>
      </c>
      <c r="AP95" s="283">
        <v>0.19722222222222199</v>
      </c>
      <c r="AQ95" s="283">
        <v>0.16944444444444401</v>
      </c>
      <c r="AR95" s="283">
        <v>0.16666666666666599</v>
      </c>
    </row>
    <row r="96" spans="1:44" s="283" customFormat="1" ht="31" customHeight="1" x14ac:dyDescent="0.25">
      <c r="A96" s="292" t="s">
        <v>210</v>
      </c>
      <c r="B96" s="292" t="s">
        <v>203</v>
      </c>
      <c r="AG96" s="283">
        <v>2.7777777777777701E-3</v>
      </c>
      <c r="AH96" s="283">
        <v>0.125</v>
      </c>
      <c r="AI96" s="283">
        <v>0.22222222222222199</v>
      </c>
      <c r="AJ96" s="283">
        <v>0.113888888888888</v>
      </c>
      <c r="AK96" s="283">
        <v>0.14444444444444399</v>
      </c>
      <c r="AL96" s="283">
        <v>0.26388888888888801</v>
      </c>
      <c r="AM96" s="283">
        <v>5.2777777777777701E-2</v>
      </c>
      <c r="AN96" s="283">
        <v>3.0555555555555499E-2</v>
      </c>
      <c r="AO96" s="283">
        <v>0.20555555555555499</v>
      </c>
      <c r="AP96" s="283">
        <v>0.42499999999999999</v>
      </c>
      <c r="AQ96" s="283">
        <v>0.43333333333333302</v>
      </c>
      <c r="AR96" s="283">
        <v>0.31944444444444398</v>
      </c>
    </row>
    <row r="97" spans="1:44" s="283" customFormat="1" ht="31" customHeight="1" x14ac:dyDescent="0.25">
      <c r="A97" s="292" t="s">
        <v>211</v>
      </c>
      <c r="B97" s="292" t="s">
        <v>203</v>
      </c>
      <c r="AG97" s="283">
        <v>0</v>
      </c>
      <c r="AH97" s="283">
        <v>0.13055555555555501</v>
      </c>
      <c r="AI97" s="283">
        <v>0.24444444444444399</v>
      </c>
      <c r="AJ97" s="283">
        <v>0.11111111111111099</v>
      </c>
      <c r="AK97" s="283">
        <v>0.1</v>
      </c>
      <c r="AL97" s="283">
        <v>0.31944444444444398</v>
      </c>
      <c r="AM97" s="283">
        <v>5.83333333333333E-2</v>
      </c>
      <c r="AN97" s="283">
        <v>4.4444444444444398E-2</v>
      </c>
      <c r="AO97" s="283">
        <v>0.25277777777777699</v>
      </c>
      <c r="AP97" s="283">
        <v>0.4</v>
      </c>
      <c r="AQ97" s="283">
        <v>0.50277777777777699</v>
      </c>
      <c r="AR97" s="283">
        <v>0.51388888888888795</v>
      </c>
    </row>
    <row r="98" spans="1:44" s="283" customFormat="1" ht="31" customHeight="1" x14ac:dyDescent="0.25">
      <c r="A98" s="292" t="s">
        <v>212</v>
      </c>
      <c r="B98" s="292" t="s">
        <v>203</v>
      </c>
      <c r="AG98" s="283">
        <v>0.18333333333333299</v>
      </c>
      <c r="AH98" s="283">
        <v>21.386111111111099</v>
      </c>
      <c r="AI98" s="283">
        <v>36.563888888888798</v>
      </c>
      <c r="AJ98" s="283">
        <v>21.7555555555555</v>
      </c>
      <c r="AK98" s="283">
        <v>33.627777777777702</v>
      </c>
      <c r="AL98" s="283">
        <v>27.186111111111099</v>
      </c>
      <c r="AM98" s="283">
        <v>13.1694444444444</v>
      </c>
      <c r="AN98" s="283">
        <v>6.0416666666666599</v>
      </c>
      <c r="AO98" s="283">
        <v>11.980555555555499</v>
      </c>
      <c r="AP98" s="283">
        <v>12.2944444444444</v>
      </c>
      <c r="AQ98" s="283">
        <v>18.8888888888888</v>
      </c>
      <c r="AR98" s="283">
        <v>6.3250000000000002</v>
      </c>
    </row>
    <row r="99" spans="1:44" s="283" customFormat="1" ht="31" customHeight="1" x14ac:dyDescent="0.25">
      <c r="A99" s="292" t="s">
        <v>213</v>
      </c>
      <c r="B99" s="292" t="s">
        <v>203</v>
      </c>
      <c r="AG99" s="283">
        <v>0</v>
      </c>
      <c r="AH99" s="283">
        <v>2.2222222222222199E-2</v>
      </c>
      <c r="AI99" s="283">
        <v>3.0555555555555499E-2</v>
      </c>
      <c r="AJ99" s="283">
        <v>1.1111111111111099E-2</v>
      </c>
      <c r="AK99" s="283">
        <v>1.6666666666666601E-2</v>
      </c>
      <c r="AL99" s="283">
        <v>2.2222222222222199E-2</v>
      </c>
      <c r="AM99" s="283">
        <v>8.3333333333333297E-3</v>
      </c>
      <c r="AN99" s="283">
        <v>5.5555555555555497E-3</v>
      </c>
      <c r="AO99" s="283">
        <v>6.9444444444444406E-2</v>
      </c>
      <c r="AP99" s="283">
        <v>6.1111111111111102E-2</v>
      </c>
      <c r="AQ99" s="283">
        <v>3.8888888888888799E-2</v>
      </c>
      <c r="AR99" s="283">
        <v>4.1666666666666602E-2</v>
      </c>
    </row>
    <row r="100" spans="1:44" s="283" customFormat="1" ht="31" customHeight="1" x14ac:dyDescent="0.25">
      <c r="A100" s="292" t="s">
        <v>214</v>
      </c>
      <c r="B100" s="292" t="s">
        <v>203</v>
      </c>
      <c r="AG100" s="283">
        <v>2.7777777777777701E-3</v>
      </c>
      <c r="AH100" s="283">
        <v>0.18333333333333299</v>
      </c>
      <c r="AI100" s="283">
        <v>0.33611111111111103</v>
      </c>
      <c r="AJ100" s="283">
        <v>0.16944444444444401</v>
      </c>
      <c r="AK100" s="283">
        <v>0.19722222222222199</v>
      </c>
      <c r="AL100" s="283">
        <v>0.25</v>
      </c>
      <c r="AM100" s="283">
        <v>7.4999999999999997E-2</v>
      </c>
      <c r="AN100" s="283">
        <v>4.72222222222222E-2</v>
      </c>
      <c r="AO100" s="283">
        <v>0.405555555555555</v>
      </c>
      <c r="AP100" s="283">
        <v>0.59166666666666601</v>
      </c>
      <c r="AQ100" s="283">
        <v>0.48611111111111099</v>
      </c>
      <c r="AR100" s="283">
        <v>0.37222222222222201</v>
      </c>
    </row>
    <row r="101" spans="1:44" s="283" customFormat="1" ht="31" customHeight="1" x14ac:dyDescent="0.25">
      <c r="A101" s="292" t="s">
        <v>215</v>
      </c>
      <c r="B101" s="292" t="s">
        <v>203</v>
      </c>
      <c r="AG101" s="283">
        <v>8.3333333333333297E-3</v>
      </c>
      <c r="AH101" s="283">
        <v>0.38333333333333303</v>
      </c>
      <c r="AI101" s="283">
        <v>0.73055555555555496</v>
      </c>
      <c r="AJ101" s="283">
        <v>0.37777777777777699</v>
      </c>
      <c r="AK101" s="283">
        <v>0.43055555555555503</v>
      </c>
      <c r="AL101" s="283">
        <v>0.53888888888888797</v>
      </c>
      <c r="AM101" s="283">
        <v>0.17499999999999999</v>
      </c>
      <c r="AN101" s="283">
        <v>0.313888888888888</v>
      </c>
      <c r="AO101" s="283">
        <v>0.86666666666666603</v>
      </c>
      <c r="AP101" s="283">
        <v>1.3944444444444399</v>
      </c>
      <c r="AQ101" s="283">
        <v>1.4</v>
      </c>
      <c r="AR101" s="283">
        <v>0.88888888888888795</v>
      </c>
    </row>
    <row r="102" spans="1:44" s="283" customFormat="1" ht="31" customHeight="1" x14ac:dyDescent="0.25">
      <c r="A102" s="292" t="s">
        <v>216</v>
      </c>
      <c r="B102" s="292" t="s">
        <v>203</v>
      </c>
      <c r="AG102" s="283">
        <v>2.2222222222222199E-2</v>
      </c>
      <c r="AH102" s="283">
        <v>5.6055555555555499</v>
      </c>
      <c r="AI102" s="283">
        <v>9.2277777777777708</v>
      </c>
      <c r="AJ102" s="283">
        <v>6.05555555555555</v>
      </c>
      <c r="AK102" s="283">
        <v>7.5361111111111097</v>
      </c>
      <c r="AL102" s="283">
        <v>5.2833333333333297</v>
      </c>
      <c r="AM102" s="283">
        <v>6.625</v>
      </c>
      <c r="AN102" s="283">
        <v>3.86666666666666</v>
      </c>
      <c r="AO102" s="283">
        <v>10.8722222222222</v>
      </c>
      <c r="AP102" s="283">
        <v>18.136111111111099</v>
      </c>
      <c r="AQ102" s="283">
        <v>19.547222222222199</v>
      </c>
      <c r="AR102" s="283">
        <v>7.4472222222222202</v>
      </c>
    </row>
    <row r="103" spans="1:44" s="283" customFormat="1" ht="31" customHeight="1" x14ac:dyDescent="0.25">
      <c r="A103" s="292" t="s">
        <v>217</v>
      </c>
      <c r="B103" s="292" t="s">
        <v>203</v>
      </c>
      <c r="AG103" s="283">
        <v>1.0277777777777699</v>
      </c>
      <c r="AH103" s="283">
        <v>20.641666666666602</v>
      </c>
      <c r="AI103" s="283">
        <v>1.375</v>
      </c>
      <c r="AJ103" s="283">
        <v>0.82222222222222197</v>
      </c>
      <c r="AK103" s="283">
        <v>2.4138888888888799</v>
      </c>
      <c r="AL103" s="283">
        <v>6.9</v>
      </c>
      <c r="AM103" s="283">
        <v>0.55833333333333302</v>
      </c>
      <c r="AN103" s="283">
        <v>0.69722222222222197</v>
      </c>
      <c r="AO103" s="283">
        <v>2.1527777777777701</v>
      </c>
      <c r="AP103" s="283">
        <v>1.125</v>
      </c>
      <c r="AQ103" s="283">
        <v>2.6</v>
      </c>
      <c r="AR103" s="283">
        <v>1.2083333333333299</v>
      </c>
    </row>
    <row r="104" spans="1:44" s="283" customFormat="1" ht="31" customHeight="1" x14ac:dyDescent="0.25">
      <c r="A104" s="292" t="s">
        <v>218</v>
      </c>
      <c r="B104" s="292" t="s">
        <v>203</v>
      </c>
      <c r="AG104" s="283">
        <v>0</v>
      </c>
      <c r="AH104" s="283">
        <v>0</v>
      </c>
      <c r="AI104" s="283">
        <v>0.77500000000000002</v>
      </c>
      <c r="AJ104" s="283">
        <v>0.48055555555555501</v>
      </c>
      <c r="AK104" s="283">
        <v>0</v>
      </c>
      <c r="AL104" s="283">
        <v>0.57499999999999996</v>
      </c>
      <c r="AM104" s="283">
        <v>0</v>
      </c>
      <c r="AN104" s="283">
        <v>0</v>
      </c>
      <c r="AO104" s="283">
        <v>0.56111111111111101</v>
      </c>
      <c r="AP104" s="283">
        <v>0.57499999999999996</v>
      </c>
      <c r="AQ104" s="283">
        <v>0.68055555555555503</v>
      </c>
      <c r="AR104" s="283">
        <v>0.78333333333333299</v>
      </c>
    </row>
    <row r="105" spans="1:44" s="283" customFormat="1" ht="31" customHeight="1" x14ac:dyDescent="0.25">
      <c r="A105" s="292" t="s">
        <v>219</v>
      </c>
      <c r="B105" s="292" t="s">
        <v>203</v>
      </c>
      <c r="AG105" s="283">
        <v>4.2083333333333304</v>
      </c>
      <c r="AH105" s="283">
        <v>178.486111111111</v>
      </c>
      <c r="AI105" s="283">
        <v>0</v>
      </c>
      <c r="AJ105" s="283">
        <v>0</v>
      </c>
      <c r="AK105" s="283">
        <v>0</v>
      </c>
      <c r="AL105" s="283">
        <v>0</v>
      </c>
      <c r="AM105" s="283">
        <v>0</v>
      </c>
      <c r="AN105" s="283">
        <v>0</v>
      </c>
      <c r="AO105" s="283">
        <v>0</v>
      </c>
      <c r="AP105" s="283">
        <v>0</v>
      </c>
      <c r="AQ105" s="283">
        <v>0</v>
      </c>
      <c r="AR105" s="283">
        <v>0</v>
      </c>
    </row>
    <row r="106" spans="1:44" s="283" customFormat="1" ht="31" customHeight="1" x14ac:dyDescent="0.25">
      <c r="A106" s="292" t="s">
        <v>220</v>
      </c>
      <c r="B106" s="292" t="s">
        <v>221</v>
      </c>
      <c r="AG106" s="283">
        <v>12.5</v>
      </c>
      <c r="AH106" s="283">
        <v>1330.5</v>
      </c>
      <c r="AI106" s="283">
        <v>1978.5</v>
      </c>
      <c r="AJ106" s="283">
        <v>1200.5</v>
      </c>
      <c r="AK106" s="283">
        <v>1705</v>
      </c>
      <c r="AL106" s="283">
        <v>1493.5</v>
      </c>
      <c r="AM106" s="283">
        <v>703</v>
      </c>
      <c r="AN106" s="283">
        <v>398.5</v>
      </c>
      <c r="AO106" s="283">
        <v>1029</v>
      </c>
      <c r="AP106" s="283">
        <v>1443.5</v>
      </c>
      <c r="AQ106" s="283">
        <v>1697</v>
      </c>
      <c r="AR106" s="283">
        <v>736</v>
      </c>
    </row>
    <row r="107" spans="1:44" s="283" customFormat="1" ht="31" customHeight="1" x14ac:dyDescent="0.25">
      <c r="A107" s="292" t="s">
        <v>222</v>
      </c>
      <c r="B107" s="292" t="s">
        <v>221</v>
      </c>
      <c r="AG107" s="283">
        <v>1</v>
      </c>
      <c r="AH107" s="283">
        <v>9.5</v>
      </c>
      <c r="AI107" s="283">
        <v>25</v>
      </c>
      <c r="AJ107" s="283">
        <v>16.5</v>
      </c>
      <c r="AK107" s="283">
        <v>15.5</v>
      </c>
      <c r="AL107" s="283">
        <v>14.5</v>
      </c>
      <c r="AM107" s="283">
        <v>3</v>
      </c>
      <c r="AN107" s="283">
        <v>2.5</v>
      </c>
      <c r="AO107" s="283">
        <v>11.5</v>
      </c>
      <c r="AP107" s="283">
        <v>10.5</v>
      </c>
      <c r="AQ107" s="283">
        <v>15</v>
      </c>
      <c r="AR107" s="283">
        <v>11</v>
      </c>
    </row>
    <row r="108" spans="1:44" s="283" customFormat="1" ht="31" customHeight="1" x14ac:dyDescent="0.25">
      <c r="A108" s="292" t="s">
        <v>223</v>
      </c>
      <c r="B108" s="292" t="s">
        <v>221</v>
      </c>
      <c r="AG108" s="283">
        <v>0</v>
      </c>
      <c r="AH108" s="283">
        <v>7</v>
      </c>
      <c r="AI108" s="283">
        <v>10.5</v>
      </c>
      <c r="AJ108" s="283">
        <v>7</v>
      </c>
      <c r="AK108" s="283">
        <v>6.5</v>
      </c>
      <c r="AL108" s="283">
        <v>9</v>
      </c>
      <c r="AM108" s="283">
        <v>4.5</v>
      </c>
      <c r="AN108" s="283">
        <v>3</v>
      </c>
      <c r="AO108" s="283">
        <v>9.5</v>
      </c>
      <c r="AP108" s="283">
        <v>14</v>
      </c>
      <c r="AQ108" s="283">
        <v>16</v>
      </c>
      <c r="AR108" s="283">
        <v>9.5</v>
      </c>
    </row>
    <row r="109" spans="1:44" s="283" customFormat="1" ht="31" customHeight="1" x14ac:dyDescent="0.25">
      <c r="A109" s="292" t="s">
        <v>224</v>
      </c>
      <c r="B109" s="292" t="s">
        <v>221</v>
      </c>
      <c r="AG109" s="283">
        <v>0</v>
      </c>
      <c r="AH109" s="283">
        <v>3.5</v>
      </c>
      <c r="AI109" s="283">
        <v>6</v>
      </c>
      <c r="AJ109" s="283">
        <v>3.5</v>
      </c>
      <c r="AK109" s="283">
        <v>3</v>
      </c>
      <c r="AL109" s="283">
        <v>7</v>
      </c>
      <c r="AM109" s="283">
        <v>2.5</v>
      </c>
      <c r="AN109" s="283">
        <v>1.5</v>
      </c>
      <c r="AO109" s="283">
        <v>10.5</v>
      </c>
      <c r="AP109" s="283">
        <v>15</v>
      </c>
      <c r="AQ109" s="283">
        <v>14.5</v>
      </c>
      <c r="AR109" s="283">
        <v>8.5</v>
      </c>
    </row>
    <row r="110" spans="1:44" s="283" customFormat="1" ht="31" customHeight="1" x14ac:dyDescent="0.25">
      <c r="A110" s="292" t="s">
        <v>225</v>
      </c>
      <c r="B110" s="292" t="s">
        <v>221</v>
      </c>
      <c r="AG110" s="283">
        <v>0</v>
      </c>
      <c r="AH110" s="283">
        <v>3</v>
      </c>
      <c r="AI110" s="283">
        <v>6</v>
      </c>
      <c r="AJ110" s="283">
        <v>2</v>
      </c>
      <c r="AK110" s="283">
        <v>1.5</v>
      </c>
      <c r="AL110" s="283">
        <v>8.5</v>
      </c>
      <c r="AM110" s="283">
        <v>2</v>
      </c>
      <c r="AN110" s="283">
        <v>0.5</v>
      </c>
      <c r="AO110" s="283">
        <v>7</v>
      </c>
      <c r="AP110" s="283">
        <v>7</v>
      </c>
      <c r="AQ110" s="283">
        <v>8.5</v>
      </c>
      <c r="AR110" s="283">
        <v>10.5</v>
      </c>
    </row>
    <row r="111" spans="1:44" s="283" customFormat="1" ht="31" customHeight="1" x14ac:dyDescent="0.25">
      <c r="A111" s="292" t="s">
        <v>226</v>
      </c>
      <c r="B111" s="292" t="s">
        <v>221</v>
      </c>
      <c r="AG111" s="283">
        <v>3</v>
      </c>
      <c r="AH111" s="283">
        <v>300</v>
      </c>
      <c r="AI111" s="283">
        <v>285.5</v>
      </c>
      <c r="AJ111" s="283">
        <v>163.5</v>
      </c>
      <c r="AK111" s="283">
        <v>222.5</v>
      </c>
      <c r="AL111" s="283">
        <v>306.5</v>
      </c>
      <c r="AM111" s="283">
        <v>30</v>
      </c>
      <c r="AN111" s="283">
        <v>19.5</v>
      </c>
      <c r="AO111" s="283">
        <v>66</v>
      </c>
      <c r="AP111" s="283">
        <v>62.5</v>
      </c>
      <c r="AQ111" s="283">
        <v>114</v>
      </c>
      <c r="AR111" s="283">
        <v>56</v>
      </c>
    </row>
    <row r="112" spans="1:44" s="283" customFormat="1" ht="31" customHeight="1" x14ac:dyDescent="0.25">
      <c r="A112" s="292" t="s">
        <v>227</v>
      </c>
      <c r="B112" s="292" t="s">
        <v>221</v>
      </c>
      <c r="AG112" s="283">
        <v>0</v>
      </c>
      <c r="AH112" s="283">
        <v>1.5</v>
      </c>
      <c r="AI112" s="283">
        <v>2.5</v>
      </c>
      <c r="AJ112" s="283">
        <v>1.5</v>
      </c>
      <c r="AK112" s="283">
        <v>2</v>
      </c>
      <c r="AL112" s="283">
        <v>2.5</v>
      </c>
      <c r="AM112" s="283">
        <v>0.5</v>
      </c>
      <c r="AN112" s="283">
        <v>0</v>
      </c>
      <c r="AO112" s="283">
        <v>3.5</v>
      </c>
      <c r="AP112" s="283">
        <v>5</v>
      </c>
      <c r="AQ112" s="283">
        <v>4.5</v>
      </c>
      <c r="AR112" s="283">
        <v>4.5</v>
      </c>
    </row>
    <row r="113" spans="1:44" s="283" customFormat="1" ht="31" customHeight="1" x14ac:dyDescent="0.25">
      <c r="A113" s="292" t="s">
        <v>228</v>
      </c>
      <c r="B113" s="292" t="s">
        <v>221</v>
      </c>
      <c r="AG113" s="283">
        <v>0</v>
      </c>
      <c r="AH113" s="283">
        <v>4</v>
      </c>
      <c r="AI113" s="283">
        <v>7</v>
      </c>
      <c r="AJ113" s="283">
        <v>3.5</v>
      </c>
      <c r="AK113" s="283">
        <v>4.5</v>
      </c>
      <c r="AL113" s="283">
        <v>8</v>
      </c>
      <c r="AM113" s="283">
        <v>1</v>
      </c>
      <c r="AN113" s="283">
        <v>0.5</v>
      </c>
      <c r="AO113" s="283">
        <v>5.5</v>
      </c>
      <c r="AP113" s="283">
        <v>11.5</v>
      </c>
      <c r="AQ113" s="283">
        <v>12</v>
      </c>
      <c r="AR113" s="283">
        <v>9</v>
      </c>
    </row>
    <row r="114" spans="1:44" s="283" customFormat="1" ht="31" customHeight="1" x14ac:dyDescent="0.25">
      <c r="A114" s="292" t="s">
        <v>229</v>
      </c>
      <c r="B114" s="292" t="s">
        <v>221</v>
      </c>
      <c r="AG114" s="283">
        <v>0</v>
      </c>
      <c r="AH114" s="283">
        <v>4</v>
      </c>
      <c r="AI114" s="283">
        <v>7.5</v>
      </c>
      <c r="AJ114" s="283">
        <v>3.5</v>
      </c>
      <c r="AK114" s="283">
        <v>3</v>
      </c>
      <c r="AL114" s="283">
        <v>10</v>
      </c>
      <c r="AM114" s="283">
        <v>1.5</v>
      </c>
      <c r="AN114" s="283">
        <v>1</v>
      </c>
      <c r="AO114" s="283">
        <v>6.5</v>
      </c>
      <c r="AP114" s="283">
        <v>11</v>
      </c>
      <c r="AQ114" s="283">
        <v>13.5</v>
      </c>
      <c r="AR114" s="283">
        <v>14.5</v>
      </c>
    </row>
    <row r="115" spans="1:44" s="283" customFormat="1" ht="31" customHeight="1" x14ac:dyDescent="0.25">
      <c r="A115" s="292" t="s">
        <v>230</v>
      </c>
      <c r="B115" s="292" t="s">
        <v>221</v>
      </c>
      <c r="AG115" s="283">
        <v>5</v>
      </c>
      <c r="AH115" s="283">
        <v>661.5</v>
      </c>
      <c r="AI115" s="283">
        <v>1078.5</v>
      </c>
      <c r="AJ115" s="283">
        <v>646</v>
      </c>
      <c r="AK115" s="283">
        <v>1001</v>
      </c>
      <c r="AL115" s="283">
        <v>808.5</v>
      </c>
      <c r="AM115" s="283">
        <v>356.5</v>
      </c>
      <c r="AN115" s="283">
        <v>167</v>
      </c>
      <c r="AO115" s="283">
        <v>324.5</v>
      </c>
      <c r="AP115" s="283">
        <v>345</v>
      </c>
      <c r="AQ115" s="283">
        <v>534.5</v>
      </c>
      <c r="AR115" s="283">
        <v>183</v>
      </c>
    </row>
    <row r="116" spans="1:44" s="283" customFormat="1" ht="31" customHeight="1" x14ac:dyDescent="0.25">
      <c r="A116" s="292" t="s">
        <v>231</v>
      </c>
      <c r="B116" s="292" t="s">
        <v>221</v>
      </c>
      <c r="AG116" s="283">
        <v>0</v>
      </c>
      <c r="AH116" s="283">
        <v>1</v>
      </c>
      <c r="AI116" s="283">
        <v>1.5</v>
      </c>
      <c r="AJ116" s="283">
        <v>0.5</v>
      </c>
      <c r="AK116" s="283">
        <v>1</v>
      </c>
      <c r="AL116" s="283">
        <v>1</v>
      </c>
      <c r="AM116" s="283">
        <v>0</v>
      </c>
      <c r="AN116" s="283">
        <v>0</v>
      </c>
      <c r="AO116" s="283">
        <v>3.5</v>
      </c>
      <c r="AP116" s="283">
        <v>2.5</v>
      </c>
      <c r="AQ116" s="283">
        <v>1.5</v>
      </c>
      <c r="AR116" s="283">
        <v>2</v>
      </c>
    </row>
    <row r="117" spans="1:44" s="283" customFormat="1" ht="31" customHeight="1" x14ac:dyDescent="0.25">
      <c r="A117" s="292" t="s">
        <v>232</v>
      </c>
      <c r="B117" s="292" t="s">
        <v>221</v>
      </c>
      <c r="AG117" s="283">
        <v>0</v>
      </c>
      <c r="AH117" s="283">
        <v>11.5</v>
      </c>
      <c r="AI117" s="283">
        <v>20.5</v>
      </c>
      <c r="AJ117" s="283">
        <v>10</v>
      </c>
      <c r="AK117" s="283">
        <v>12</v>
      </c>
      <c r="AL117" s="283">
        <v>13.5</v>
      </c>
      <c r="AM117" s="283">
        <v>4</v>
      </c>
      <c r="AN117" s="283">
        <v>2.5</v>
      </c>
      <c r="AO117" s="283">
        <v>23.5</v>
      </c>
      <c r="AP117" s="283">
        <v>30.5</v>
      </c>
      <c r="AQ117" s="283">
        <v>24</v>
      </c>
      <c r="AR117" s="283">
        <v>20.5</v>
      </c>
    </row>
    <row r="118" spans="1:44" s="283" customFormat="1" ht="31" customHeight="1" x14ac:dyDescent="0.25">
      <c r="A118" s="292" t="s">
        <v>233</v>
      </c>
      <c r="B118" s="292" t="s">
        <v>221</v>
      </c>
      <c r="AG118" s="283">
        <v>0.5</v>
      </c>
      <c r="AH118" s="283">
        <v>25</v>
      </c>
      <c r="AI118" s="283">
        <v>46</v>
      </c>
      <c r="AJ118" s="283">
        <v>24</v>
      </c>
      <c r="AK118" s="283">
        <v>28.5</v>
      </c>
      <c r="AL118" s="283">
        <v>30</v>
      </c>
      <c r="AM118" s="283">
        <v>9.5</v>
      </c>
      <c r="AN118" s="283">
        <v>18.5</v>
      </c>
      <c r="AO118" s="283">
        <v>51</v>
      </c>
      <c r="AP118" s="283">
        <v>78.5</v>
      </c>
      <c r="AQ118" s="283">
        <v>74</v>
      </c>
      <c r="AR118" s="283">
        <v>51</v>
      </c>
    </row>
    <row r="119" spans="1:44" s="283" customFormat="1" ht="31" customHeight="1" x14ac:dyDescent="0.25">
      <c r="A119" s="292" t="s">
        <v>234</v>
      </c>
      <c r="B119" s="292" t="s">
        <v>221</v>
      </c>
      <c r="AG119" s="283">
        <v>1</v>
      </c>
      <c r="AH119" s="283">
        <v>296.5</v>
      </c>
      <c r="AI119" s="283">
        <v>478.5</v>
      </c>
      <c r="AJ119" s="283">
        <v>316.5</v>
      </c>
      <c r="AK119" s="283">
        <v>402</v>
      </c>
      <c r="AL119" s="283">
        <v>272</v>
      </c>
      <c r="AM119" s="283">
        <v>285.5</v>
      </c>
      <c r="AN119" s="283">
        <v>179</v>
      </c>
      <c r="AO119" s="283">
        <v>504.5</v>
      </c>
      <c r="AP119" s="283">
        <v>847.5</v>
      </c>
      <c r="AQ119" s="283">
        <v>862</v>
      </c>
      <c r="AR119" s="283">
        <v>353.5</v>
      </c>
    </row>
    <row r="120" spans="1:44" s="283" customFormat="1" ht="31" customHeight="1" x14ac:dyDescent="0.25">
      <c r="A120" s="292" t="s">
        <v>235</v>
      </c>
      <c r="B120" s="292" t="s">
        <v>221</v>
      </c>
      <c r="AG120" s="283">
        <v>27.5</v>
      </c>
      <c r="AH120" s="283">
        <v>631.5</v>
      </c>
      <c r="AI120" s="283">
        <v>39.5</v>
      </c>
      <c r="AJ120" s="283">
        <v>22.5</v>
      </c>
      <c r="AK120" s="283">
        <v>70.5</v>
      </c>
      <c r="AL120" s="283">
        <v>203</v>
      </c>
      <c r="AM120" s="283">
        <v>18.5</v>
      </c>
      <c r="AN120" s="283">
        <v>21.5</v>
      </c>
      <c r="AO120" s="283">
        <v>69</v>
      </c>
      <c r="AP120" s="283">
        <v>40</v>
      </c>
      <c r="AQ120" s="283">
        <v>90.5</v>
      </c>
      <c r="AR120" s="283">
        <v>43</v>
      </c>
    </row>
    <row r="121" spans="1:44" s="283" customFormat="1" ht="31" customHeight="1" x14ac:dyDescent="0.25">
      <c r="A121" s="292" t="s">
        <v>236</v>
      </c>
      <c r="B121" s="292" t="s">
        <v>221</v>
      </c>
      <c r="AG121" s="283">
        <v>0</v>
      </c>
      <c r="AH121" s="283">
        <v>0</v>
      </c>
      <c r="AI121" s="283">
        <v>23.5</v>
      </c>
      <c r="AJ121" s="283">
        <v>14.5</v>
      </c>
      <c r="AK121" s="283">
        <v>0</v>
      </c>
      <c r="AL121" s="283">
        <v>14.5</v>
      </c>
      <c r="AM121" s="283">
        <v>0</v>
      </c>
      <c r="AN121" s="283">
        <v>0</v>
      </c>
      <c r="AO121" s="283">
        <v>12</v>
      </c>
      <c r="AP121" s="283">
        <v>20.5</v>
      </c>
      <c r="AQ121" s="283">
        <v>21</v>
      </c>
      <c r="AR121" s="283">
        <v>23.5</v>
      </c>
    </row>
    <row r="122" spans="1:44" s="283" customFormat="1" ht="31" customHeight="1" x14ac:dyDescent="0.25">
      <c r="A122" s="292" t="s">
        <v>237</v>
      </c>
      <c r="B122" s="292" t="s">
        <v>221</v>
      </c>
      <c r="AG122" s="283">
        <v>64.5</v>
      </c>
      <c r="AH122" s="283">
        <v>4501.5</v>
      </c>
      <c r="AI122" s="283">
        <v>0</v>
      </c>
      <c r="AJ122" s="283">
        <v>0</v>
      </c>
      <c r="AK122" s="283">
        <v>0</v>
      </c>
      <c r="AL122" s="283">
        <v>0</v>
      </c>
      <c r="AM122" s="283">
        <v>0</v>
      </c>
      <c r="AN122" s="283">
        <v>0</v>
      </c>
      <c r="AO122" s="283">
        <v>0</v>
      </c>
      <c r="AP122" s="283">
        <v>0</v>
      </c>
      <c r="AQ122" s="283">
        <v>0</v>
      </c>
      <c r="AR122" s="283">
        <v>0</v>
      </c>
    </row>
    <row r="123" spans="1:44" s="283" customFormat="1" ht="31" customHeight="1" x14ac:dyDescent="0.25">
      <c r="A123" s="292" t="s">
        <v>238</v>
      </c>
      <c r="B123" s="292" t="s">
        <v>132</v>
      </c>
      <c r="AG123" s="283">
        <v>68273.574999999997</v>
      </c>
      <c r="AH123" s="283">
        <v>65363.661999999997</v>
      </c>
      <c r="AI123" s="283">
        <v>70336.316999999995</v>
      </c>
      <c r="AJ123" s="283">
        <v>63364.415000000001</v>
      </c>
      <c r="AK123" s="283">
        <v>75131.635999999999</v>
      </c>
      <c r="AL123" s="283">
        <v>62513.317999999999</v>
      </c>
      <c r="AM123" s="283">
        <v>54206.52</v>
      </c>
      <c r="AN123" s="283">
        <v>58493.101000000002</v>
      </c>
      <c r="AO123" s="283">
        <v>75147.573000000004</v>
      </c>
      <c r="AP123" s="283">
        <v>75160.362999999998</v>
      </c>
      <c r="AQ123" s="283">
        <v>55042.569000000003</v>
      </c>
      <c r="AR123" s="283">
        <v>54372.934000000001</v>
      </c>
    </row>
    <row r="124" spans="1:44" s="283" customFormat="1" ht="31" customHeight="1" x14ac:dyDescent="0.25">
      <c r="A124" s="292" t="s">
        <v>239</v>
      </c>
      <c r="B124" s="292" t="s">
        <v>132</v>
      </c>
      <c r="AG124" s="283">
        <v>140.29</v>
      </c>
      <c r="AH124" s="283">
        <v>104.291</v>
      </c>
      <c r="AI124" s="283">
        <v>197.292</v>
      </c>
      <c r="AJ124" s="283">
        <v>176.41800000000001</v>
      </c>
      <c r="AK124" s="283">
        <v>108.59</v>
      </c>
      <c r="AL124" s="283">
        <v>182.755</v>
      </c>
      <c r="AM124" s="283">
        <v>63.834000000000003</v>
      </c>
      <c r="AN124" s="283">
        <v>76.638000000000005</v>
      </c>
      <c r="AO124" s="283">
        <v>117.608</v>
      </c>
      <c r="AP124" s="283">
        <v>82.554000000000002</v>
      </c>
      <c r="AQ124" s="283">
        <v>64.599000000000004</v>
      </c>
      <c r="AR124" s="283">
        <v>86.042000000000002</v>
      </c>
    </row>
    <row r="125" spans="1:44" s="283" customFormat="1" ht="31" customHeight="1" x14ac:dyDescent="0.25">
      <c r="A125" s="292" t="s">
        <v>240</v>
      </c>
      <c r="B125" s="292" t="s">
        <v>132</v>
      </c>
      <c r="AG125" s="283">
        <v>479.19600000000003</v>
      </c>
      <c r="AH125" s="283">
        <v>427.87400000000002</v>
      </c>
      <c r="AI125" s="283">
        <v>258.24299999999999</v>
      </c>
      <c r="AJ125" s="283">
        <v>345.03199999999998</v>
      </c>
      <c r="AK125" s="283">
        <v>251.45</v>
      </c>
      <c r="AL125" s="283">
        <v>251.13200000000001</v>
      </c>
      <c r="AM125" s="283">
        <v>202.184</v>
      </c>
      <c r="AN125" s="283">
        <v>235.97300000000001</v>
      </c>
      <c r="AO125" s="283">
        <v>375.13400000000001</v>
      </c>
      <c r="AP125" s="283">
        <v>372.94400000000002</v>
      </c>
      <c r="AQ125" s="283">
        <v>265.87700000000001</v>
      </c>
      <c r="AR125" s="283">
        <v>231.624</v>
      </c>
    </row>
    <row r="126" spans="1:44" s="283" customFormat="1" ht="31" customHeight="1" x14ac:dyDescent="0.25">
      <c r="A126" s="292" t="s">
        <v>241</v>
      </c>
      <c r="B126" s="292" t="s">
        <v>132</v>
      </c>
      <c r="AG126" s="283">
        <v>631.96199999999999</v>
      </c>
      <c r="AH126" s="283">
        <v>518.96</v>
      </c>
      <c r="AI126" s="283">
        <v>322.63</v>
      </c>
      <c r="AJ126" s="283">
        <v>370.05799999999999</v>
      </c>
      <c r="AK126" s="283">
        <v>284.72500000000002</v>
      </c>
      <c r="AL126" s="283">
        <v>370.29</v>
      </c>
      <c r="AM126" s="283">
        <v>212.244</v>
      </c>
      <c r="AN126" s="283">
        <v>456.31</v>
      </c>
      <c r="AO126" s="283">
        <v>756.904</v>
      </c>
      <c r="AP126" s="283">
        <v>712.39700000000005</v>
      </c>
      <c r="AQ126" s="283">
        <v>303.09199999999998</v>
      </c>
      <c r="AR126" s="283">
        <v>346.23599999999999</v>
      </c>
    </row>
    <row r="127" spans="1:44" s="283" customFormat="1" ht="31" customHeight="1" x14ac:dyDescent="0.25">
      <c r="A127" s="292" t="s">
        <v>242</v>
      </c>
      <c r="B127" s="292" t="s">
        <v>132</v>
      </c>
      <c r="AG127" s="283">
        <v>462.23399999999998</v>
      </c>
      <c r="AH127" s="283">
        <v>455.846</v>
      </c>
      <c r="AI127" s="283">
        <v>290.76</v>
      </c>
      <c r="AJ127" s="283">
        <v>284.88799999999998</v>
      </c>
      <c r="AK127" s="283">
        <v>254.762</v>
      </c>
      <c r="AL127" s="283">
        <v>288.29199999999997</v>
      </c>
      <c r="AM127" s="283">
        <v>163.43899999999999</v>
      </c>
      <c r="AN127" s="283">
        <v>270.91300000000001</v>
      </c>
      <c r="AO127" s="283">
        <v>611.20299999999997</v>
      </c>
      <c r="AP127" s="283">
        <v>505.09300000000002</v>
      </c>
      <c r="AQ127" s="283">
        <v>257.44499999999999</v>
      </c>
      <c r="AR127" s="283">
        <v>255.733</v>
      </c>
    </row>
    <row r="128" spans="1:44" s="283" customFormat="1" ht="31" customHeight="1" x14ac:dyDescent="0.25">
      <c r="A128" s="292" t="s">
        <v>243</v>
      </c>
      <c r="B128" s="292" t="s">
        <v>132</v>
      </c>
      <c r="AG128" s="283">
        <v>10487.513000000001</v>
      </c>
      <c r="AH128" s="283">
        <v>13016.028</v>
      </c>
      <c r="AI128" s="283">
        <v>7686.8</v>
      </c>
      <c r="AJ128" s="283">
        <v>9240.6869999999999</v>
      </c>
      <c r="AK128" s="283">
        <v>8634.0959999999995</v>
      </c>
      <c r="AL128" s="283">
        <v>11187.773999999999</v>
      </c>
      <c r="AM128" s="283">
        <v>2903.2959999999998</v>
      </c>
      <c r="AN128" s="283">
        <v>3056.317</v>
      </c>
      <c r="AO128" s="283">
        <v>3210.9920000000002</v>
      </c>
      <c r="AP128" s="283">
        <v>4076.038</v>
      </c>
      <c r="AQ128" s="283">
        <v>4319.1850000000004</v>
      </c>
      <c r="AR128" s="283">
        <v>3323.2739999999999</v>
      </c>
    </row>
    <row r="129" spans="1:44" s="283" customFormat="1" ht="31" customHeight="1" x14ac:dyDescent="0.25">
      <c r="A129" s="292" t="s">
        <v>244</v>
      </c>
      <c r="B129" s="292" t="s">
        <v>132</v>
      </c>
      <c r="AG129" s="283">
        <v>143.78800000000001</v>
      </c>
      <c r="AH129" s="283">
        <v>146.25200000000001</v>
      </c>
      <c r="AI129" s="283">
        <v>66.977999999999994</v>
      </c>
      <c r="AJ129" s="283">
        <v>89.923000000000002</v>
      </c>
      <c r="AK129" s="283">
        <v>85.013999999999996</v>
      </c>
      <c r="AL129" s="283">
        <v>97.185000000000002</v>
      </c>
      <c r="AM129" s="283">
        <v>59.174999999999997</v>
      </c>
      <c r="AN129" s="283">
        <v>105.64</v>
      </c>
      <c r="AO129" s="283">
        <v>151.18899999999999</v>
      </c>
      <c r="AP129" s="283">
        <v>181.88900000000001</v>
      </c>
      <c r="AQ129" s="283">
        <v>42.161999999999999</v>
      </c>
      <c r="AR129" s="283">
        <v>85.35</v>
      </c>
    </row>
    <row r="130" spans="1:44" s="283" customFormat="1" ht="31" customHeight="1" x14ac:dyDescent="0.25">
      <c r="A130" s="292" t="s">
        <v>245</v>
      </c>
      <c r="B130" s="292" t="s">
        <v>132</v>
      </c>
      <c r="AG130" s="283">
        <v>281.471</v>
      </c>
      <c r="AH130" s="283">
        <v>322.98700000000002</v>
      </c>
      <c r="AI130" s="283">
        <v>212.08</v>
      </c>
      <c r="AJ130" s="283">
        <v>245.72399999999999</v>
      </c>
      <c r="AK130" s="283">
        <v>213.255</v>
      </c>
      <c r="AL130" s="283">
        <v>308.25700000000001</v>
      </c>
      <c r="AM130" s="283">
        <v>102.334</v>
      </c>
      <c r="AN130" s="283">
        <v>235.601</v>
      </c>
      <c r="AO130" s="283">
        <v>262.28100000000001</v>
      </c>
      <c r="AP130" s="283">
        <v>403.69499999999999</v>
      </c>
      <c r="AQ130" s="283">
        <v>143.91800000000001</v>
      </c>
      <c r="AR130" s="283">
        <v>175.55</v>
      </c>
    </row>
    <row r="131" spans="1:44" s="283" customFormat="1" ht="31" customHeight="1" x14ac:dyDescent="0.25">
      <c r="A131" s="292" t="s">
        <v>246</v>
      </c>
      <c r="B131" s="292" t="s">
        <v>132</v>
      </c>
      <c r="AG131" s="283">
        <v>357.78100000000001</v>
      </c>
      <c r="AH131" s="283">
        <v>409.14299999999997</v>
      </c>
      <c r="AI131" s="283">
        <v>256.00299999999999</v>
      </c>
      <c r="AJ131" s="283">
        <v>243.209</v>
      </c>
      <c r="AK131" s="283">
        <v>207.40899999999999</v>
      </c>
      <c r="AL131" s="283">
        <v>412.78899999999999</v>
      </c>
      <c r="AM131" s="283">
        <v>133.58199999999999</v>
      </c>
      <c r="AN131" s="283">
        <v>239.399</v>
      </c>
      <c r="AO131" s="283">
        <v>403.50099999999998</v>
      </c>
      <c r="AP131" s="283">
        <v>410.39400000000001</v>
      </c>
      <c r="AQ131" s="283">
        <v>269.19299999999998</v>
      </c>
      <c r="AR131" s="283">
        <v>203.642</v>
      </c>
    </row>
    <row r="132" spans="1:44" s="283" customFormat="1" ht="31" customHeight="1" x14ac:dyDescent="0.25">
      <c r="A132" s="292" t="s">
        <v>247</v>
      </c>
      <c r="B132" s="292" t="s">
        <v>132</v>
      </c>
      <c r="AG132" s="283">
        <v>37788.453000000001</v>
      </c>
      <c r="AH132" s="283">
        <v>33827.271000000001</v>
      </c>
      <c r="AI132" s="283">
        <v>36923.896999999997</v>
      </c>
      <c r="AJ132" s="283">
        <v>35666.737000000001</v>
      </c>
      <c r="AK132" s="283">
        <v>41721.199000000001</v>
      </c>
      <c r="AL132" s="283">
        <v>33916.807999999997</v>
      </c>
      <c r="AM132" s="283">
        <v>24790.882000000001</v>
      </c>
      <c r="AN132" s="283">
        <v>17176.93</v>
      </c>
      <c r="AO132" s="283">
        <v>14968.673000000001</v>
      </c>
      <c r="AP132" s="283">
        <v>15031.415999999999</v>
      </c>
      <c r="AQ132" s="283">
        <v>16248.361999999999</v>
      </c>
      <c r="AR132" s="283">
        <v>16107.744000000001</v>
      </c>
    </row>
    <row r="133" spans="1:44" s="283" customFormat="1" ht="31" customHeight="1" x14ac:dyDescent="0.25">
      <c r="A133" s="292" t="s">
        <v>248</v>
      </c>
      <c r="B133" s="292" t="s">
        <v>132</v>
      </c>
      <c r="AG133" s="283">
        <v>55.121000000000002</v>
      </c>
      <c r="AH133" s="283">
        <v>72.314999999999998</v>
      </c>
      <c r="AI133" s="283">
        <v>45.808</v>
      </c>
      <c r="AJ133" s="283">
        <v>34.363</v>
      </c>
      <c r="AK133" s="283">
        <v>41.749000000000002</v>
      </c>
      <c r="AL133" s="283">
        <v>39.479999999999997</v>
      </c>
      <c r="AM133" s="283">
        <v>35.323</v>
      </c>
      <c r="AN133" s="283">
        <v>90.632000000000005</v>
      </c>
      <c r="AO133" s="283">
        <v>151.697</v>
      </c>
      <c r="AP133" s="283">
        <v>95.4</v>
      </c>
      <c r="AQ133" s="283">
        <v>24.934000000000001</v>
      </c>
      <c r="AR133" s="283">
        <v>76.668999999999997</v>
      </c>
    </row>
    <row r="134" spans="1:44" s="283" customFormat="1" ht="31" customHeight="1" x14ac:dyDescent="0.25">
      <c r="A134" s="292" t="s">
        <v>249</v>
      </c>
      <c r="B134" s="292" t="s">
        <v>132</v>
      </c>
      <c r="AG134" s="283">
        <v>746.15200000000004</v>
      </c>
      <c r="AH134" s="283">
        <v>840.11199999999997</v>
      </c>
      <c r="AI134" s="283">
        <v>661.47299999999996</v>
      </c>
      <c r="AJ134" s="283">
        <v>510.35300000000001</v>
      </c>
      <c r="AK134" s="283">
        <v>518.47400000000005</v>
      </c>
      <c r="AL134" s="283">
        <v>492.62</v>
      </c>
      <c r="AM134" s="283">
        <v>396.83</v>
      </c>
      <c r="AN134" s="283">
        <v>816.40899999999999</v>
      </c>
      <c r="AO134" s="283">
        <v>1242.9449999999999</v>
      </c>
      <c r="AP134" s="283">
        <v>1153.2449999999999</v>
      </c>
      <c r="AQ134" s="283">
        <v>377.57600000000002</v>
      </c>
      <c r="AR134" s="283">
        <v>639.45000000000005</v>
      </c>
    </row>
    <row r="135" spans="1:44" s="283" customFormat="1" ht="31" customHeight="1" x14ac:dyDescent="0.25">
      <c r="A135" s="292" t="s">
        <v>250</v>
      </c>
      <c r="B135" s="292" t="s">
        <v>132</v>
      </c>
      <c r="AG135" s="283">
        <v>1813.413</v>
      </c>
      <c r="AH135" s="283">
        <v>1669.8389999999999</v>
      </c>
      <c r="AI135" s="283">
        <v>1575.5550000000001</v>
      </c>
      <c r="AJ135" s="283">
        <v>1213.704</v>
      </c>
      <c r="AK135" s="283">
        <v>1415.4449999999999</v>
      </c>
      <c r="AL135" s="283">
        <v>956.18399999999997</v>
      </c>
      <c r="AM135" s="283">
        <v>1282.79</v>
      </c>
      <c r="AN135" s="283">
        <v>2322.08</v>
      </c>
      <c r="AO135" s="283">
        <v>2487.1869999999999</v>
      </c>
      <c r="AP135" s="283">
        <v>2553.9409999999998</v>
      </c>
      <c r="AQ135" s="283">
        <v>2313.9259999999999</v>
      </c>
      <c r="AR135" s="283">
        <v>1433.5409999999999</v>
      </c>
    </row>
    <row r="136" spans="1:44" s="283" customFormat="1" ht="31" customHeight="1" x14ac:dyDescent="0.25">
      <c r="A136" s="292" t="s">
        <v>251</v>
      </c>
      <c r="B136" s="292" t="s">
        <v>132</v>
      </c>
      <c r="AG136" s="283">
        <v>14886.204</v>
      </c>
      <c r="AH136" s="283">
        <v>13552.746999999999</v>
      </c>
      <c r="AI136" s="283">
        <v>21838.799999999999</v>
      </c>
      <c r="AJ136" s="283">
        <v>14943.321</v>
      </c>
      <c r="AK136" s="283">
        <v>21395.473999999998</v>
      </c>
      <c r="AL136" s="283">
        <v>14009.754999999999</v>
      </c>
      <c r="AM136" s="283">
        <v>23860.61</v>
      </c>
      <c r="AN136" s="283">
        <v>33410.262000000002</v>
      </c>
      <c r="AO136" s="283">
        <v>50408.264000000003</v>
      </c>
      <c r="AP136" s="283">
        <v>49581.36</v>
      </c>
      <c r="AQ136" s="283">
        <v>30412.305</v>
      </c>
      <c r="AR136" s="283">
        <v>31408.083999999999</v>
      </c>
    </row>
    <row r="137" spans="1:44" s="283" customFormat="1" ht="31" customHeight="1" x14ac:dyDescent="0.25">
      <c r="A137" s="292" t="s">
        <v>252</v>
      </c>
      <c r="B137" s="292" t="s">
        <v>132</v>
      </c>
      <c r="AG137" s="283">
        <v>30587.152999999998</v>
      </c>
      <c r="AH137" s="283">
        <v>28573.962</v>
      </c>
      <c r="AI137" s="283">
        <v>4003.4690000000001</v>
      </c>
      <c r="AJ137" s="283">
        <v>6150.9129999999996</v>
      </c>
      <c r="AK137" s="283">
        <v>4245.59</v>
      </c>
      <c r="AL137" s="283">
        <v>16373.561</v>
      </c>
      <c r="AM137" s="283">
        <v>458.62099999999998</v>
      </c>
      <c r="AN137" s="283">
        <v>2341.6550000000002</v>
      </c>
      <c r="AO137" s="283">
        <v>35737.682999999997</v>
      </c>
      <c r="AP137" s="283">
        <v>27189.329000000002</v>
      </c>
      <c r="AQ137" s="283">
        <v>13746.06</v>
      </c>
      <c r="AR137" s="283">
        <v>7533.9110000000001</v>
      </c>
    </row>
    <row r="138" spans="1:44" s="283" customFormat="1" ht="31" customHeight="1" x14ac:dyDescent="0.25">
      <c r="A138" s="292" t="s">
        <v>253</v>
      </c>
      <c r="B138" s="292" t="s">
        <v>132</v>
      </c>
      <c r="AG138" s="283">
        <v>1922.2370000000001</v>
      </c>
      <c r="AH138" s="283">
        <v>395.505</v>
      </c>
      <c r="AI138" s="283">
        <v>709.61300000000006</v>
      </c>
      <c r="AJ138" s="283">
        <v>0</v>
      </c>
      <c r="AK138" s="283">
        <v>1276.9259999999999</v>
      </c>
      <c r="AL138" s="283">
        <v>438.26499999999999</v>
      </c>
      <c r="AM138" s="283">
        <v>335.31900000000002</v>
      </c>
      <c r="AN138" s="283">
        <v>724.625</v>
      </c>
      <c r="AO138" s="283">
        <v>863.27700000000004</v>
      </c>
      <c r="AP138" s="283">
        <v>258.70100000000002</v>
      </c>
      <c r="AQ138" s="283">
        <v>235.465</v>
      </c>
      <c r="AR138" s="283">
        <v>742.89700000000005</v>
      </c>
    </row>
    <row r="139" spans="1:44" s="283" customFormat="1" ht="31" customHeight="1" x14ac:dyDescent="0.25">
      <c r="A139" s="292" t="s">
        <v>254</v>
      </c>
      <c r="B139" s="292" t="s">
        <v>132</v>
      </c>
      <c r="AG139" s="283">
        <v>0</v>
      </c>
      <c r="AH139" s="283">
        <v>0</v>
      </c>
      <c r="AI139" s="283">
        <v>0</v>
      </c>
      <c r="AJ139" s="283">
        <v>14555.536</v>
      </c>
      <c r="AK139" s="283">
        <v>0</v>
      </c>
      <c r="AL139" s="283">
        <v>0</v>
      </c>
      <c r="AM139" s="283">
        <v>0</v>
      </c>
      <c r="AN139" s="283">
        <v>0</v>
      </c>
      <c r="AO139" s="283">
        <v>0</v>
      </c>
      <c r="AP139" s="283">
        <v>0</v>
      </c>
      <c r="AQ139" s="283">
        <v>0</v>
      </c>
      <c r="AR139" s="283">
        <v>0</v>
      </c>
    </row>
    <row r="140" spans="1:44" s="283" customFormat="1" ht="31" customHeight="1" x14ac:dyDescent="0.25">
      <c r="A140" s="292" t="s">
        <v>255</v>
      </c>
      <c r="B140" s="292" t="s">
        <v>132</v>
      </c>
      <c r="AG140" s="283">
        <v>650.44100000000003</v>
      </c>
      <c r="AH140" s="283">
        <v>1253.4580000000001</v>
      </c>
      <c r="AI140" s="283">
        <v>825.31399999999996</v>
      </c>
      <c r="AJ140" s="283">
        <v>653.55100000000004</v>
      </c>
      <c r="AK140" s="283">
        <v>1169.069</v>
      </c>
      <c r="AL140" s="283">
        <v>877.58699999999999</v>
      </c>
      <c r="AM140" s="283">
        <v>1672.6420000000001</v>
      </c>
      <c r="AN140" s="283">
        <v>1564.152</v>
      </c>
      <c r="AO140" s="283">
        <v>1457.748</v>
      </c>
      <c r="AP140" s="283">
        <v>1912.5409999999999</v>
      </c>
      <c r="AQ140" s="283">
        <v>2017.5029999999999</v>
      </c>
      <c r="AR140" s="283">
        <v>2672.9110000000001</v>
      </c>
    </row>
    <row r="141" spans="1:44" s="283" customFormat="1" ht="31" customHeight="1" x14ac:dyDescent="0.25">
      <c r="A141" s="292" t="s">
        <v>256</v>
      </c>
      <c r="B141" s="292" t="s">
        <v>132</v>
      </c>
      <c r="AG141" s="283">
        <v>14.946</v>
      </c>
      <c r="AH141" s="283">
        <v>17.428999999999998</v>
      </c>
      <c r="AI141" s="283">
        <v>25.382000000000001</v>
      </c>
      <c r="AJ141" s="283">
        <v>19.565000000000001</v>
      </c>
      <c r="AK141" s="283">
        <v>15.43</v>
      </c>
      <c r="AL141" s="283">
        <v>24.817</v>
      </c>
      <c r="AM141" s="283">
        <v>4.0999999999999996</v>
      </c>
      <c r="AN141" s="283">
        <v>3.3029999999999999</v>
      </c>
      <c r="AO141" s="283">
        <v>4.7469999999999999</v>
      </c>
      <c r="AP141" s="283">
        <v>2.7959999999999998</v>
      </c>
      <c r="AQ141" s="283">
        <v>3.4129999999999998</v>
      </c>
      <c r="AR141" s="283">
        <v>9.0719999999999992</v>
      </c>
    </row>
    <row r="142" spans="1:44" s="283" customFormat="1" ht="31" customHeight="1" x14ac:dyDescent="0.25">
      <c r="A142" s="292" t="s">
        <v>257</v>
      </c>
      <c r="B142" s="292" t="s">
        <v>132</v>
      </c>
      <c r="AG142" s="283">
        <v>29.661000000000001</v>
      </c>
      <c r="AH142" s="283">
        <v>30.265999999999998</v>
      </c>
      <c r="AI142" s="283">
        <v>32.994999999999997</v>
      </c>
      <c r="AJ142" s="283">
        <v>24.077999999999999</v>
      </c>
      <c r="AK142" s="283">
        <v>23.638999999999999</v>
      </c>
      <c r="AL142" s="283">
        <v>30.817</v>
      </c>
      <c r="AM142" s="283">
        <v>16.059000000000001</v>
      </c>
      <c r="AN142" s="283">
        <v>9.8680000000000003</v>
      </c>
      <c r="AO142" s="283">
        <v>13.571</v>
      </c>
      <c r="AP142" s="283">
        <v>15.247</v>
      </c>
      <c r="AQ142" s="283">
        <v>23.274999999999999</v>
      </c>
      <c r="AR142" s="283">
        <v>14.676</v>
      </c>
    </row>
    <row r="143" spans="1:44" s="283" customFormat="1" ht="31" customHeight="1" x14ac:dyDescent="0.25">
      <c r="A143" s="292" t="s">
        <v>258</v>
      </c>
      <c r="B143" s="292" t="s">
        <v>132</v>
      </c>
      <c r="AG143" s="283">
        <v>49.463000000000001</v>
      </c>
      <c r="AH143" s="283">
        <v>45.533000000000001</v>
      </c>
      <c r="AI143" s="283">
        <v>16.036999999999999</v>
      </c>
      <c r="AJ143" s="283">
        <v>22.067</v>
      </c>
      <c r="AK143" s="283">
        <v>16.099</v>
      </c>
      <c r="AL143" s="283">
        <v>29.646000000000001</v>
      </c>
      <c r="AM143" s="283">
        <v>20.042000000000002</v>
      </c>
      <c r="AN143" s="283">
        <v>20.943999999999999</v>
      </c>
      <c r="AO143" s="283">
        <v>35.512</v>
      </c>
      <c r="AP143" s="283">
        <v>28.844000000000001</v>
      </c>
      <c r="AQ143" s="283">
        <v>25.135999999999999</v>
      </c>
      <c r="AR143" s="283">
        <v>36.469000000000001</v>
      </c>
    </row>
    <row r="144" spans="1:44" s="283" customFormat="1" ht="31" customHeight="1" x14ac:dyDescent="0.25">
      <c r="A144" s="292" t="s">
        <v>259</v>
      </c>
      <c r="B144" s="292" t="s">
        <v>132</v>
      </c>
      <c r="AG144" s="283">
        <v>17.338999999999999</v>
      </c>
      <c r="AH144" s="283">
        <v>39.933999999999997</v>
      </c>
      <c r="AI144" s="283">
        <v>13.585000000000001</v>
      </c>
      <c r="AJ144" s="283">
        <v>17.321000000000002</v>
      </c>
      <c r="AK144" s="283">
        <v>13.555999999999999</v>
      </c>
      <c r="AL144" s="283">
        <v>15.324</v>
      </c>
      <c r="AM144" s="283">
        <v>15.48</v>
      </c>
      <c r="AN144" s="283">
        <v>15.589</v>
      </c>
      <c r="AO144" s="283">
        <v>31.896999999999998</v>
      </c>
      <c r="AP144" s="283">
        <v>24.888000000000002</v>
      </c>
      <c r="AQ144" s="283">
        <v>17.765999999999998</v>
      </c>
      <c r="AR144" s="283">
        <v>38.76</v>
      </c>
    </row>
    <row r="145" spans="1:44" s="283" customFormat="1" ht="31" customHeight="1" x14ac:dyDescent="0.25">
      <c r="A145" s="292" t="s">
        <v>260</v>
      </c>
      <c r="B145" s="292" t="s">
        <v>132</v>
      </c>
      <c r="AG145" s="283">
        <v>70.031999999999996</v>
      </c>
      <c r="AH145" s="283">
        <v>270.41399999999999</v>
      </c>
      <c r="AI145" s="283">
        <v>104.40900000000001</v>
      </c>
      <c r="AJ145" s="283">
        <v>147.68700000000001</v>
      </c>
      <c r="AK145" s="283">
        <v>209.893</v>
      </c>
      <c r="AL145" s="283">
        <v>162.89099999999999</v>
      </c>
      <c r="AM145" s="283">
        <v>165.17400000000001</v>
      </c>
      <c r="AN145" s="283">
        <v>143.44399999999999</v>
      </c>
      <c r="AO145" s="283">
        <v>114.208</v>
      </c>
      <c r="AP145" s="283">
        <v>180.19499999999999</v>
      </c>
      <c r="AQ145" s="283">
        <v>255.38499999999999</v>
      </c>
      <c r="AR145" s="283">
        <v>374.173</v>
      </c>
    </row>
    <row r="146" spans="1:44" s="283" customFormat="1" ht="31" customHeight="1" x14ac:dyDescent="0.25">
      <c r="A146" s="292" t="s">
        <v>261</v>
      </c>
      <c r="B146" s="292" t="s">
        <v>132</v>
      </c>
      <c r="AG146" s="283">
        <v>5.5259999999999998</v>
      </c>
      <c r="AH146" s="283">
        <v>4.1630000000000003</v>
      </c>
      <c r="AI146" s="283">
        <v>1.9219999999999999</v>
      </c>
      <c r="AJ146" s="283">
        <v>1.849</v>
      </c>
      <c r="AK146" s="283">
        <v>3.5449999999999999</v>
      </c>
      <c r="AL146" s="283">
        <v>3.141</v>
      </c>
      <c r="AM146" s="283">
        <v>1.8759999999999999</v>
      </c>
      <c r="AN146" s="283">
        <v>1.6279999999999999</v>
      </c>
      <c r="AO146" s="283">
        <v>1.43</v>
      </c>
      <c r="AP146" s="283">
        <v>1.5249999999999999</v>
      </c>
      <c r="AQ146" s="283">
        <v>0.81299999999999994</v>
      </c>
      <c r="AR146" s="283">
        <v>2.395</v>
      </c>
    </row>
    <row r="147" spans="1:44" s="283" customFormat="1" ht="31" customHeight="1" x14ac:dyDescent="0.25">
      <c r="A147" s="292" t="s">
        <v>262</v>
      </c>
      <c r="B147" s="292" t="s">
        <v>132</v>
      </c>
      <c r="AG147" s="283">
        <v>13.423</v>
      </c>
      <c r="AH147" s="283">
        <v>18.167999999999999</v>
      </c>
      <c r="AI147" s="283">
        <v>6.0410000000000004</v>
      </c>
      <c r="AJ147" s="283">
        <v>7.4470000000000001</v>
      </c>
      <c r="AK147" s="283">
        <v>6.5149999999999997</v>
      </c>
      <c r="AL147" s="283">
        <v>11.603</v>
      </c>
      <c r="AM147" s="283">
        <v>4.9249999999999998</v>
      </c>
      <c r="AN147" s="283">
        <v>5.883</v>
      </c>
      <c r="AO147" s="283">
        <v>7.8049999999999997</v>
      </c>
      <c r="AP147" s="283">
        <v>7.6539999999999999</v>
      </c>
      <c r="AQ147" s="283">
        <v>5.2880000000000003</v>
      </c>
      <c r="AR147" s="283">
        <v>13.244999999999999</v>
      </c>
    </row>
    <row r="148" spans="1:44" s="283" customFormat="1" ht="31" customHeight="1" x14ac:dyDescent="0.25">
      <c r="A148" s="292" t="s">
        <v>263</v>
      </c>
      <c r="B148" s="292" t="s">
        <v>132</v>
      </c>
      <c r="AG148" s="283">
        <v>13.896000000000001</v>
      </c>
      <c r="AH148" s="283">
        <v>22.783999999999999</v>
      </c>
      <c r="AI148" s="283">
        <v>7.5419999999999998</v>
      </c>
      <c r="AJ148" s="283">
        <v>9.0619999999999994</v>
      </c>
      <c r="AK148" s="283">
        <v>6.8079999999999998</v>
      </c>
      <c r="AL148" s="283">
        <v>11.914</v>
      </c>
      <c r="AM148" s="283">
        <v>7.258</v>
      </c>
      <c r="AN148" s="283">
        <v>10.228</v>
      </c>
      <c r="AO148" s="283">
        <v>12.686</v>
      </c>
      <c r="AP148" s="283">
        <v>11.847</v>
      </c>
      <c r="AQ148" s="283">
        <v>13.114000000000001</v>
      </c>
      <c r="AR148" s="283">
        <v>18.123999999999999</v>
      </c>
    </row>
    <row r="149" spans="1:44" s="283" customFormat="1" ht="31" customHeight="1" x14ac:dyDescent="0.25">
      <c r="A149" s="292" t="s">
        <v>264</v>
      </c>
      <c r="B149" s="292" t="s">
        <v>132</v>
      </c>
      <c r="AG149" s="283">
        <v>177.249</v>
      </c>
      <c r="AH149" s="283">
        <v>363.14</v>
      </c>
      <c r="AI149" s="283">
        <v>313.37700000000001</v>
      </c>
      <c r="AJ149" s="283">
        <v>216.49600000000001</v>
      </c>
      <c r="AK149" s="283">
        <v>496.56700000000001</v>
      </c>
      <c r="AL149" s="283">
        <v>298.33800000000002</v>
      </c>
      <c r="AM149" s="283">
        <v>679.48299999999995</v>
      </c>
      <c r="AN149" s="283">
        <v>434.30099999999999</v>
      </c>
      <c r="AO149" s="283">
        <v>223.989</v>
      </c>
      <c r="AP149" s="283">
        <v>308.30799999999999</v>
      </c>
      <c r="AQ149" s="283">
        <v>568.89400000000001</v>
      </c>
      <c r="AR149" s="283">
        <v>743.37900000000002</v>
      </c>
    </row>
    <row r="150" spans="1:44" s="283" customFormat="1" ht="31" customHeight="1" x14ac:dyDescent="0.25">
      <c r="A150" s="292" t="s">
        <v>265</v>
      </c>
      <c r="B150" s="292" t="s">
        <v>132</v>
      </c>
      <c r="AG150" s="283">
        <v>1.2110000000000001</v>
      </c>
      <c r="AH150" s="283">
        <v>1.716</v>
      </c>
      <c r="AI150" s="283">
        <v>0.77500000000000002</v>
      </c>
      <c r="AJ150" s="283">
        <v>0.435</v>
      </c>
      <c r="AK150" s="283">
        <v>1.19</v>
      </c>
      <c r="AL150" s="283">
        <v>0.89100000000000001</v>
      </c>
      <c r="AM150" s="283">
        <v>0.48699999999999999</v>
      </c>
      <c r="AN150" s="283">
        <v>1.0449999999999999</v>
      </c>
      <c r="AO150" s="283">
        <v>1.7350000000000001</v>
      </c>
      <c r="AP150" s="283">
        <v>1.006</v>
      </c>
      <c r="AQ150" s="283">
        <v>0.314</v>
      </c>
      <c r="AR150" s="283">
        <v>1.587</v>
      </c>
    </row>
    <row r="151" spans="1:44" s="283" customFormat="1" ht="31" customHeight="1" x14ac:dyDescent="0.25">
      <c r="A151" s="292" t="s">
        <v>266</v>
      </c>
      <c r="B151" s="292" t="s">
        <v>132</v>
      </c>
      <c r="AG151" s="283">
        <v>19.809999999999999</v>
      </c>
      <c r="AH151" s="283">
        <v>29.827999999999999</v>
      </c>
      <c r="AI151" s="283">
        <v>12.558999999999999</v>
      </c>
      <c r="AJ151" s="283">
        <v>8.68</v>
      </c>
      <c r="AK151" s="283">
        <v>14.646000000000001</v>
      </c>
      <c r="AL151" s="283">
        <v>15.946999999999999</v>
      </c>
      <c r="AM151" s="283">
        <v>9.5909999999999993</v>
      </c>
      <c r="AN151" s="283">
        <v>10.220000000000001</v>
      </c>
      <c r="AO151" s="283">
        <v>16.989999999999998</v>
      </c>
      <c r="AP151" s="283">
        <v>13.829000000000001</v>
      </c>
      <c r="AQ151" s="283">
        <v>9.0939999999999994</v>
      </c>
      <c r="AR151" s="283">
        <v>19.738</v>
      </c>
    </row>
    <row r="152" spans="1:44" s="283" customFormat="1" ht="31" customHeight="1" x14ac:dyDescent="0.25">
      <c r="A152" s="292" t="s">
        <v>267</v>
      </c>
      <c r="B152" s="292" t="s">
        <v>132</v>
      </c>
      <c r="AG152" s="283">
        <v>60.640999999999998</v>
      </c>
      <c r="AH152" s="283">
        <v>72.480999999999995</v>
      </c>
      <c r="AI152" s="283">
        <v>41.591000000000001</v>
      </c>
      <c r="AJ152" s="283">
        <v>32.218000000000004</v>
      </c>
      <c r="AK152" s="283">
        <v>49.893000000000001</v>
      </c>
      <c r="AL152" s="283">
        <v>39.220999999999997</v>
      </c>
      <c r="AM152" s="283">
        <v>50.003999999999998</v>
      </c>
      <c r="AN152" s="283">
        <v>74.144000000000005</v>
      </c>
      <c r="AO152" s="283">
        <v>65.777000000000001</v>
      </c>
      <c r="AP152" s="283">
        <v>80.138000000000005</v>
      </c>
      <c r="AQ152" s="283">
        <v>104.99299999999999</v>
      </c>
      <c r="AR152" s="283">
        <v>74.301000000000002</v>
      </c>
    </row>
    <row r="153" spans="1:44" s="283" customFormat="1" ht="31" customHeight="1" x14ac:dyDescent="0.25">
      <c r="A153" s="292" t="s">
        <v>268</v>
      </c>
      <c r="B153" s="292" t="s">
        <v>132</v>
      </c>
      <c r="AG153" s="283">
        <v>177.24299999999999</v>
      </c>
      <c r="AH153" s="283">
        <v>337.601</v>
      </c>
      <c r="AI153" s="283">
        <v>249.1</v>
      </c>
      <c r="AJ153" s="283">
        <v>146.64699999999999</v>
      </c>
      <c r="AK153" s="283">
        <v>311.28899999999999</v>
      </c>
      <c r="AL153" s="283">
        <v>233.03700000000001</v>
      </c>
      <c r="AM153" s="283">
        <v>698.16300000000001</v>
      </c>
      <c r="AN153" s="283">
        <v>833.55600000000004</v>
      </c>
      <c r="AO153" s="283">
        <v>927.39800000000002</v>
      </c>
      <c r="AP153" s="283">
        <v>1236.2639999999999</v>
      </c>
      <c r="AQ153" s="283">
        <v>990.01800000000003</v>
      </c>
      <c r="AR153" s="283">
        <v>1326.991</v>
      </c>
    </row>
    <row r="154" spans="1:44" s="283" customFormat="1" ht="31" customHeight="1" x14ac:dyDescent="0.25">
      <c r="A154" s="292" t="s">
        <v>269</v>
      </c>
      <c r="B154" s="292" t="s">
        <v>132</v>
      </c>
      <c r="AG154" s="283">
        <v>148.04</v>
      </c>
      <c r="AH154" s="283">
        <v>342.84899999999999</v>
      </c>
      <c r="AI154" s="283">
        <v>28.387</v>
      </c>
      <c r="AJ154" s="283">
        <v>36.466999999999999</v>
      </c>
      <c r="AK154" s="283">
        <v>42.173000000000002</v>
      </c>
      <c r="AL154" s="283">
        <v>190.49199999999999</v>
      </c>
      <c r="AM154" s="283">
        <v>21.771000000000001</v>
      </c>
      <c r="AN154" s="283">
        <v>71.244</v>
      </c>
      <c r="AO154" s="283">
        <v>505.18</v>
      </c>
      <c r="AP154" s="283">
        <v>490.12299999999999</v>
      </c>
      <c r="AQ154" s="283">
        <v>308.89499999999998</v>
      </c>
      <c r="AR154" s="283">
        <v>273.399</v>
      </c>
    </row>
    <row r="155" spans="1:44" s="283" customFormat="1" ht="31" customHeight="1" x14ac:dyDescent="0.25">
      <c r="A155" s="292" t="s">
        <v>270</v>
      </c>
      <c r="B155" s="292" t="s">
        <v>132</v>
      </c>
      <c r="AG155" s="283">
        <v>67.867999999999995</v>
      </c>
      <c r="AH155" s="283">
        <v>9.8469999999999995</v>
      </c>
      <c r="AI155" s="283">
        <v>28.827999999999999</v>
      </c>
      <c r="AJ155" s="283">
        <v>0</v>
      </c>
      <c r="AK155" s="283">
        <v>69.19</v>
      </c>
      <c r="AL155" s="283">
        <v>13.891999999999999</v>
      </c>
      <c r="AM155" s="283">
        <v>16.699000000000002</v>
      </c>
      <c r="AN155" s="283">
        <v>23.896000000000001</v>
      </c>
      <c r="AO155" s="283">
        <v>33.110999999999997</v>
      </c>
      <c r="AP155" s="283">
        <v>15.384</v>
      </c>
      <c r="AQ155" s="283">
        <v>16.21</v>
      </c>
      <c r="AR155" s="283">
        <v>35.137999999999998</v>
      </c>
    </row>
    <row r="156" spans="1:44" s="283" customFormat="1" ht="31" customHeight="1" x14ac:dyDescent="0.25">
      <c r="A156" s="292" t="s">
        <v>271</v>
      </c>
      <c r="B156" s="292" t="s">
        <v>132</v>
      </c>
      <c r="AG156" s="283">
        <v>0</v>
      </c>
      <c r="AH156" s="283">
        <v>0</v>
      </c>
      <c r="AI156" s="283">
        <v>0</v>
      </c>
      <c r="AJ156" s="283">
        <v>159.155</v>
      </c>
      <c r="AK156" s="283">
        <v>0</v>
      </c>
      <c r="AL156" s="283">
        <v>0</v>
      </c>
      <c r="AM156" s="283">
        <v>0</v>
      </c>
      <c r="AN156" s="283">
        <v>0</v>
      </c>
      <c r="AO156" s="283">
        <v>0</v>
      </c>
      <c r="AP156" s="283">
        <v>0</v>
      </c>
      <c r="AQ156" s="283">
        <v>0</v>
      </c>
      <c r="AR156" s="283">
        <v>0</v>
      </c>
    </row>
    <row r="157" spans="1:44" s="283" customFormat="1" ht="31" customHeight="1" x14ac:dyDescent="0.25">
      <c r="A157" s="292" t="s">
        <v>272</v>
      </c>
      <c r="B157" s="292" t="s">
        <v>167</v>
      </c>
      <c r="AG157" s="283">
        <v>9515</v>
      </c>
      <c r="AH157" s="283">
        <v>9161</v>
      </c>
      <c r="AI157" s="283">
        <v>10270</v>
      </c>
      <c r="AJ157" s="283">
        <v>9609</v>
      </c>
      <c r="AK157" s="283">
        <v>11297</v>
      </c>
      <c r="AL157" s="283">
        <v>9213</v>
      </c>
      <c r="AM157" s="283">
        <v>11123</v>
      </c>
      <c r="AN157" s="283">
        <v>11130</v>
      </c>
      <c r="AO157" s="283">
        <v>12025</v>
      </c>
      <c r="AP157" s="283">
        <v>12221</v>
      </c>
      <c r="AQ157" s="283">
        <v>11044</v>
      </c>
      <c r="AR157" s="283">
        <v>11774</v>
      </c>
    </row>
    <row r="158" spans="1:44" s="283" customFormat="1" ht="31" customHeight="1" x14ac:dyDescent="0.25">
      <c r="A158" s="292" t="s">
        <v>273</v>
      </c>
      <c r="B158" s="292" t="s">
        <v>167</v>
      </c>
      <c r="AG158" s="283">
        <v>25</v>
      </c>
      <c r="AH158" s="283">
        <v>37</v>
      </c>
      <c r="AI158" s="283">
        <v>22</v>
      </c>
      <c r="AJ158" s="283">
        <v>31</v>
      </c>
      <c r="AK158" s="283">
        <v>23</v>
      </c>
      <c r="AL158" s="283">
        <v>29</v>
      </c>
      <c r="AM158" s="283">
        <v>28</v>
      </c>
      <c r="AN158" s="283">
        <v>35</v>
      </c>
      <c r="AO158" s="283">
        <v>47</v>
      </c>
      <c r="AP158" s="283">
        <v>32</v>
      </c>
      <c r="AQ158" s="283">
        <v>29</v>
      </c>
      <c r="AR158" s="283">
        <v>34</v>
      </c>
    </row>
    <row r="159" spans="1:44" s="283" customFormat="1" ht="31" customHeight="1" x14ac:dyDescent="0.25">
      <c r="A159" s="292" t="s">
        <v>274</v>
      </c>
      <c r="B159" s="292" t="s">
        <v>167</v>
      </c>
      <c r="AG159" s="283">
        <v>64</v>
      </c>
      <c r="AH159" s="283">
        <v>64</v>
      </c>
      <c r="AI159" s="283">
        <v>41</v>
      </c>
      <c r="AJ159" s="283">
        <v>54</v>
      </c>
      <c r="AK159" s="283">
        <v>38</v>
      </c>
      <c r="AL159" s="283">
        <v>39</v>
      </c>
      <c r="AM159" s="283">
        <v>46</v>
      </c>
      <c r="AN159" s="283">
        <v>49</v>
      </c>
      <c r="AO159" s="283">
        <v>66</v>
      </c>
      <c r="AP159" s="283">
        <v>66</v>
      </c>
      <c r="AQ159" s="283">
        <v>58</v>
      </c>
      <c r="AR159" s="283">
        <v>50</v>
      </c>
    </row>
    <row r="160" spans="1:44" s="283" customFormat="1" ht="31" customHeight="1" x14ac:dyDescent="0.25">
      <c r="A160" s="292" t="s">
        <v>275</v>
      </c>
      <c r="B160" s="292" t="s">
        <v>167</v>
      </c>
      <c r="AG160" s="283">
        <v>68</v>
      </c>
      <c r="AH160" s="283">
        <v>47</v>
      </c>
      <c r="AI160" s="283">
        <v>30</v>
      </c>
      <c r="AJ160" s="283">
        <v>38</v>
      </c>
      <c r="AK160" s="283">
        <v>28</v>
      </c>
      <c r="AL160" s="283">
        <v>39</v>
      </c>
      <c r="AM160" s="283">
        <v>31</v>
      </c>
      <c r="AN160" s="283">
        <v>77</v>
      </c>
      <c r="AO160" s="283">
        <v>105</v>
      </c>
      <c r="AP160" s="283">
        <v>95</v>
      </c>
      <c r="AQ160" s="283">
        <v>49</v>
      </c>
      <c r="AR160" s="283">
        <v>48</v>
      </c>
    </row>
    <row r="161" spans="1:44" s="283" customFormat="1" ht="31" customHeight="1" x14ac:dyDescent="0.25">
      <c r="A161" s="292" t="s">
        <v>276</v>
      </c>
      <c r="B161" s="292" t="s">
        <v>167</v>
      </c>
      <c r="AG161" s="283">
        <v>44</v>
      </c>
      <c r="AH161" s="283">
        <v>42</v>
      </c>
      <c r="AI161" s="283">
        <v>27</v>
      </c>
      <c r="AJ161" s="283">
        <v>27</v>
      </c>
      <c r="AK161" s="283">
        <v>21</v>
      </c>
      <c r="AL161" s="283">
        <v>34</v>
      </c>
      <c r="AM161" s="283">
        <v>24</v>
      </c>
      <c r="AN161" s="283">
        <v>40</v>
      </c>
      <c r="AO161" s="283">
        <v>72</v>
      </c>
      <c r="AP161" s="283">
        <v>59</v>
      </c>
      <c r="AQ161" s="283">
        <v>37</v>
      </c>
      <c r="AR161" s="283">
        <v>33</v>
      </c>
    </row>
    <row r="162" spans="1:44" s="283" customFormat="1" ht="31" customHeight="1" x14ac:dyDescent="0.25">
      <c r="A162" s="292" t="s">
        <v>277</v>
      </c>
      <c r="B162" s="292" t="s">
        <v>167</v>
      </c>
      <c r="AG162" s="283">
        <v>1369</v>
      </c>
      <c r="AH162" s="283">
        <v>1799</v>
      </c>
      <c r="AI162" s="283">
        <v>1185</v>
      </c>
      <c r="AJ162" s="283">
        <v>1636</v>
      </c>
      <c r="AK162" s="283">
        <v>1414</v>
      </c>
      <c r="AL162" s="283">
        <v>1747</v>
      </c>
      <c r="AM162" s="283">
        <v>641</v>
      </c>
      <c r="AN162" s="283">
        <v>597</v>
      </c>
      <c r="AO162" s="283">
        <v>528</v>
      </c>
      <c r="AP162" s="283">
        <v>517</v>
      </c>
      <c r="AQ162" s="283">
        <v>909</v>
      </c>
      <c r="AR162" s="283">
        <v>779</v>
      </c>
    </row>
    <row r="163" spans="1:44" s="283" customFormat="1" ht="31" customHeight="1" x14ac:dyDescent="0.25">
      <c r="A163" s="292" t="s">
        <v>278</v>
      </c>
      <c r="B163" s="292" t="s">
        <v>167</v>
      </c>
      <c r="AG163" s="283">
        <v>26</v>
      </c>
      <c r="AH163" s="283">
        <v>27</v>
      </c>
      <c r="AI163" s="283">
        <v>14</v>
      </c>
      <c r="AJ163" s="283">
        <v>18</v>
      </c>
      <c r="AK163" s="283">
        <v>17</v>
      </c>
      <c r="AL163" s="283">
        <v>19</v>
      </c>
      <c r="AM163" s="283">
        <v>17</v>
      </c>
      <c r="AN163" s="283">
        <v>24</v>
      </c>
      <c r="AO163" s="283">
        <v>32</v>
      </c>
      <c r="AP163" s="283">
        <v>40</v>
      </c>
      <c r="AQ163" s="283">
        <v>12</v>
      </c>
      <c r="AR163" s="283">
        <v>24</v>
      </c>
    </row>
    <row r="164" spans="1:44" s="283" customFormat="1" ht="31" customHeight="1" x14ac:dyDescent="0.25">
      <c r="A164" s="292" t="s">
        <v>279</v>
      </c>
      <c r="B164" s="292" t="s">
        <v>167</v>
      </c>
      <c r="AG164" s="283">
        <v>50</v>
      </c>
      <c r="AH164" s="283">
        <v>58</v>
      </c>
      <c r="AI164" s="283">
        <v>42</v>
      </c>
      <c r="AJ164" s="283">
        <v>50</v>
      </c>
      <c r="AK164" s="283">
        <v>42</v>
      </c>
      <c r="AL164" s="283">
        <v>56</v>
      </c>
      <c r="AM164" s="283">
        <v>30</v>
      </c>
      <c r="AN164" s="283">
        <v>60</v>
      </c>
      <c r="AO164" s="283">
        <v>66</v>
      </c>
      <c r="AP164" s="283">
        <v>89</v>
      </c>
      <c r="AQ164" s="283">
        <v>39</v>
      </c>
      <c r="AR164" s="283">
        <v>56</v>
      </c>
    </row>
    <row r="165" spans="1:44" s="283" customFormat="1" ht="31" customHeight="1" x14ac:dyDescent="0.25">
      <c r="A165" s="292" t="s">
        <v>280</v>
      </c>
      <c r="B165" s="292" t="s">
        <v>167</v>
      </c>
      <c r="AG165" s="283">
        <v>61</v>
      </c>
      <c r="AH165" s="283">
        <v>72</v>
      </c>
      <c r="AI165" s="283">
        <v>46</v>
      </c>
      <c r="AJ165" s="283">
        <v>48</v>
      </c>
      <c r="AK165" s="283">
        <v>40</v>
      </c>
      <c r="AL165" s="283">
        <v>73</v>
      </c>
      <c r="AM165" s="283">
        <v>37</v>
      </c>
      <c r="AN165" s="283">
        <v>65</v>
      </c>
      <c r="AO165" s="283">
        <v>91</v>
      </c>
      <c r="AP165" s="283">
        <v>89</v>
      </c>
      <c r="AQ165" s="283">
        <v>69</v>
      </c>
      <c r="AR165" s="283">
        <v>57</v>
      </c>
    </row>
    <row r="166" spans="1:44" s="283" customFormat="1" ht="31" customHeight="1" x14ac:dyDescent="0.25">
      <c r="A166" s="292" t="s">
        <v>281</v>
      </c>
      <c r="B166" s="292" t="s">
        <v>167</v>
      </c>
      <c r="AG166" s="283">
        <v>5309</v>
      </c>
      <c r="AH166" s="283">
        <v>4622</v>
      </c>
      <c r="AI166" s="283">
        <v>5454</v>
      </c>
      <c r="AJ166" s="283">
        <v>5199</v>
      </c>
      <c r="AK166" s="283">
        <v>6284</v>
      </c>
      <c r="AL166" s="283">
        <v>4891</v>
      </c>
      <c r="AM166" s="283">
        <v>5468</v>
      </c>
      <c r="AN166" s="283">
        <v>3793</v>
      </c>
      <c r="AO166" s="283">
        <v>2541</v>
      </c>
      <c r="AP166" s="283">
        <v>2618</v>
      </c>
      <c r="AQ166" s="283">
        <v>3681</v>
      </c>
      <c r="AR166" s="283">
        <v>3797</v>
      </c>
    </row>
    <row r="167" spans="1:44" s="283" customFormat="1" ht="31" customHeight="1" x14ac:dyDescent="0.25">
      <c r="A167" s="292" t="s">
        <v>282</v>
      </c>
      <c r="B167" s="292" t="s">
        <v>167</v>
      </c>
      <c r="AG167" s="283">
        <v>10</v>
      </c>
      <c r="AH167" s="283">
        <v>14</v>
      </c>
      <c r="AI167" s="283">
        <v>10</v>
      </c>
      <c r="AJ167" s="283">
        <v>8</v>
      </c>
      <c r="AK167" s="283">
        <v>9</v>
      </c>
      <c r="AL167" s="283">
        <v>9</v>
      </c>
      <c r="AM167" s="283">
        <v>9</v>
      </c>
      <c r="AN167" s="283">
        <v>19</v>
      </c>
      <c r="AO167" s="283">
        <v>31</v>
      </c>
      <c r="AP167" s="283">
        <v>19</v>
      </c>
      <c r="AQ167" s="283">
        <v>6</v>
      </c>
      <c r="AR167" s="283">
        <v>19</v>
      </c>
    </row>
    <row r="168" spans="1:44" s="283" customFormat="1" ht="31" customHeight="1" x14ac:dyDescent="0.25">
      <c r="A168" s="292" t="s">
        <v>283</v>
      </c>
      <c r="B168" s="292" t="s">
        <v>167</v>
      </c>
      <c r="AG168" s="283">
        <v>119</v>
      </c>
      <c r="AH168" s="283">
        <v>146</v>
      </c>
      <c r="AI168" s="283">
        <v>118</v>
      </c>
      <c r="AJ168" s="283">
        <v>97</v>
      </c>
      <c r="AK168" s="283">
        <v>95</v>
      </c>
      <c r="AL168" s="283">
        <v>91</v>
      </c>
      <c r="AM168" s="283">
        <v>90</v>
      </c>
      <c r="AN168" s="283">
        <v>152</v>
      </c>
      <c r="AO168" s="283">
        <v>219</v>
      </c>
      <c r="AP168" s="283">
        <v>199</v>
      </c>
      <c r="AQ168" s="283">
        <v>85</v>
      </c>
      <c r="AR168" s="283">
        <v>156</v>
      </c>
    </row>
    <row r="169" spans="1:44" s="283" customFormat="1" ht="31" customHeight="1" x14ac:dyDescent="0.25">
      <c r="A169" s="292" t="s">
        <v>284</v>
      </c>
      <c r="B169" s="292" t="s">
        <v>167</v>
      </c>
      <c r="AG169" s="283">
        <v>269</v>
      </c>
      <c r="AH169" s="283">
        <v>278</v>
      </c>
      <c r="AI169" s="283">
        <v>257</v>
      </c>
      <c r="AJ169" s="283">
        <v>220</v>
      </c>
      <c r="AK169" s="283">
        <v>241</v>
      </c>
      <c r="AL169" s="283">
        <v>169</v>
      </c>
      <c r="AM169" s="283">
        <v>268</v>
      </c>
      <c r="AN169" s="283">
        <v>432</v>
      </c>
      <c r="AO169" s="283">
        <v>419</v>
      </c>
      <c r="AP169" s="283">
        <v>448</v>
      </c>
      <c r="AQ169" s="283">
        <v>461</v>
      </c>
      <c r="AR169" s="283">
        <v>324</v>
      </c>
    </row>
    <row r="170" spans="1:44" s="283" customFormat="1" ht="31" customHeight="1" x14ac:dyDescent="0.25">
      <c r="A170" s="292" t="s">
        <v>285</v>
      </c>
      <c r="B170" s="292" t="s">
        <v>167</v>
      </c>
      <c r="AG170" s="283">
        <v>2099</v>
      </c>
      <c r="AH170" s="283">
        <v>1955</v>
      </c>
      <c r="AI170" s="283">
        <v>3023</v>
      </c>
      <c r="AJ170" s="283">
        <v>2182</v>
      </c>
      <c r="AK170" s="283">
        <v>3045</v>
      </c>
      <c r="AL170" s="283">
        <v>2019</v>
      </c>
      <c r="AM170" s="283">
        <v>4433</v>
      </c>
      <c r="AN170" s="283">
        <v>5788</v>
      </c>
      <c r="AO170" s="283">
        <v>7808</v>
      </c>
      <c r="AP170" s="283">
        <v>7950</v>
      </c>
      <c r="AQ170" s="283">
        <v>5606</v>
      </c>
      <c r="AR170" s="283">
        <v>6397</v>
      </c>
    </row>
    <row r="171" spans="1:44" s="283" customFormat="1" ht="31" customHeight="1" x14ac:dyDescent="0.25">
      <c r="A171" s="292" t="s">
        <v>286</v>
      </c>
      <c r="B171" s="292" t="s">
        <v>167</v>
      </c>
      <c r="AG171" s="283">
        <v>4294</v>
      </c>
      <c r="AH171" s="283">
        <v>3950</v>
      </c>
      <c r="AI171" s="283">
        <v>655</v>
      </c>
      <c r="AJ171" s="283">
        <v>961</v>
      </c>
      <c r="AK171" s="283">
        <v>724</v>
      </c>
      <c r="AL171" s="283">
        <v>2455</v>
      </c>
      <c r="AM171" s="283">
        <v>119</v>
      </c>
      <c r="AN171" s="283">
        <v>507</v>
      </c>
      <c r="AO171" s="283">
        <v>5347</v>
      </c>
      <c r="AP171" s="283">
        <v>4154</v>
      </c>
      <c r="AQ171" s="283">
        <v>2366</v>
      </c>
      <c r="AR171" s="283">
        <v>1506</v>
      </c>
    </row>
    <row r="172" spans="1:44" s="283" customFormat="1" ht="31" customHeight="1" x14ac:dyDescent="0.25">
      <c r="A172" s="292" t="s">
        <v>287</v>
      </c>
      <c r="B172" s="292" t="s">
        <v>167</v>
      </c>
      <c r="AG172" s="283">
        <v>256</v>
      </c>
      <c r="AH172" s="283">
        <v>58</v>
      </c>
      <c r="AI172" s="283">
        <v>101</v>
      </c>
      <c r="AJ172" s="283">
        <v>0</v>
      </c>
      <c r="AK172" s="283">
        <v>182</v>
      </c>
      <c r="AL172" s="283">
        <v>69</v>
      </c>
      <c r="AM172" s="283">
        <v>59</v>
      </c>
      <c r="AN172" s="283">
        <v>108</v>
      </c>
      <c r="AO172" s="283">
        <v>96</v>
      </c>
      <c r="AP172" s="283">
        <v>38</v>
      </c>
      <c r="AQ172" s="283">
        <v>38</v>
      </c>
      <c r="AR172" s="283">
        <v>125</v>
      </c>
    </row>
    <row r="173" spans="1:44" s="283" customFormat="1" ht="31" customHeight="1" x14ac:dyDescent="0.25">
      <c r="A173" s="292" t="s">
        <v>288</v>
      </c>
      <c r="B173" s="292" t="s">
        <v>167</v>
      </c>
      <c r="AG173" s="283">
        <v>0</v>
      </c>
      <c r="AH173" s="283">
        <v>0</v>
      </c>
      <c r="AI173" s="283">
        <v>0</v>
      </c>
      <c r="AJ173" s="283">
        <v>2173</v>
      </c>
      <c r="AK173" s="283">
        <v>0</v>
      </c>
      <c r="AL173" s="283">
        <v>0</v>
      </c>
      <c r="AM173" s="283">
        <v>0</v>
      </c>
      <c r="AN173" s="283">
        <v>0</v>
      </c>
      <c r="AO173" s="283">
        <v>0</v>
      </c>
      <c r="AP173" s="283">
        <v>0</v>
      </c>
      <c r="AQ173" s="283">
        <v>0</v>
      </c>
      <c r="AR173" s="283">
        <v>0</v>
      </c>
    </row>
    <row r="174" spans="1:44" s="283" customFormat="1" ht="31" customHeight="1" x14ac:dyDescent="0.25">
      <c r="A174" s="292" t="s">
        <v>289</v>
      </c>
      <c r="B174" s="292" t="s">
        <v>185</v>
      </c>
      <c r="AG174" s="283">
        <v>7434.75</v>
      </c>
      <c r="AH174" s="283">
        <v>7663.25</v>
      </c>
      <c r="AI174" s="283">
        <v>7738.25</v>
      </c>
      <c r="AJ174" s="283">
        <v>7645.5</v>
      </c>
      <c r="AK174" s="283">
        <v>8543.5</v>
      </c>
      <c r="AL174" s="283">
        <v>7559.5</v>
      </c>
      <c r="AM174" s="283">
        <v>8195.75</v>
      </c>
      <c r="AN174" s="283">
        <v>7897.5</v>
      </c>
      <c r="AO174" s="283">
        <v>7374.5</v>
      </c>
      <c r="AP174" s="283">
        <v>7544</v>
      </c>
      <c r="AQ174" s="283">
        <v>8136.5</v>
      </c>
      <c r="AR174" s="283">
        <v>8335.75</v>
      </c>
    </row>
    <row r="175" spans="1:44" s="283" customFormat="1" ht="31" customHeight="1" x14ac:dyDescent="0.25">
      <c r="A175" s="292" t="s">
        <v>290</v>
      </c>
      <c r="B175" s="292" t="s">
        <v>185</v>
      </c>
      <c r="AG175" s="283">
        <v>0</v>
      </c>
      <c r="AH175" s="283">
        <v>0</v>
      </c>
      <c r="AI175" s="283">
        <v>0</v>
      </c>
      <c r="AJ175" s="283">
        <v>0</v>
      </c>
      <c r="AK175" s="283">
        <v>0</v>
      </c>
      <c r="AL175" s="283">
        <v>0</v>
      </c>
      <c r="AM175" s="283">
        <v>0</v>
      </c>
      <c r="AN175" s="283">
        <v>0</v>
      </c>
      <c r="AO175" s="283">
        <v>0</v>
      </c>
      <c r="AP175" s="283">
        <v>0</v>
      </c>
      <c r="AQ175" s="283">
        <v>0</v>
      </c>
      <c r="AR175" s="283">
        <v>0</v>
      </c>
    </row>
    <row r="176" spans="1:44" s="283" customFormat="1" ht="31" customHeight="1" x14ac:dyDescent="0.25">
      <c r="A176" s="292" t="s">
        <v>291</v>
      </c>
      <c r="B176" s="292" t="s">
        <v>185</v>
      </c>
      <c r="AG176" s="283">
        <v>37</v>
      </c>
      <c r="AH176" s="283">
        <v>34.25</v>
      </c>
      <c r="AI176" s="283">
        <v>22.25</v>
      </c>
      <c r="AJ176" s="283">
        <v>28.5</v>
      </c>
      <c r="AK176" s="283">
        <v>19.5</v>
      </c>
      <c r="AL176" s="283">
        <v>22.75</v>
      </c>
      <c r="AM176" s="283">
        <v>30</v>
      </c>
      <c r="AN176" s="283">
        <v>28</v>
      </c>
      <c r="AO176" s="283">
        <v>40.25</v>
      </c>
      <c r="AP176" s="283">
        <v>41.5</v>
      </c>
      <c r="AQ176" s="283">
        <v>36.75</v>
      </c>
      <c r="AR176" s="283">
        <v>30.75</v>
      </c>
    </row>
    <row r="177" spans="1:44" s="283" customFormat="1" ht="31" customHeight="1" x14ac:dyDescent="0.25">
      <c r="A177" s="292" t="s">
        <v>292</v>
      </c>
      <c r="B177" s="292" t="s">
        <v>185</v>
      </c>
      <c r="AG177" s="283">
        <v>91.5</v>
      </c>
      <c r="AH177" s="283">
        <v>71.25</v>
      </c>
      <c r="AI177" s="283">
        <v>48</v>
      </c>
      <c r="AJ177" s="283">
        <v>64.75</v>
      </c>
      <c r="AK177" s="283">
        <v>38.5</v>
      </c>
      <c r="AL177" s="283">
        <v>51.75</v>
      </c>
      <c r="AM177" s="283">
        <v>58.75</v>
      </c>
      <c r="AN177" s="283">
        <v>115.75</v>
      </c>
      <c r="AO177" s="283">
        <v>162.25</v>
      </c>
      <c r="AP177" s="283">
        <v>148.25</v>
      </c>
      <c r="AQ177" s="283">
        <v>86</v>
      </c>
      <c r="AR177" s="283">
        <v>93.75</v>
      </c>
    </row>
    <row r="178" spans="1:44" s="283" customFormat="1" ht="31" customHeight="1" x14ac:dyDescent="0.25">
      <c r="A178" s="292" t="s">
        <v>293</v>
      </c>
      <c r="B178" s="292" t="s">
        <v>185</v>
      </c>
      <c r="AG178" s="283">
        <v>105.75</v>
      </c>
      <c r="AH178" s="283">
        <v>122.25</v>
      </c>
      <c r="AI178" s="283">
        <v>85.75</v>
      </c>
      <c r="AJ178" s="283">
        <v>104.75</v>
      </c>
      <c r="AK178" s="283">
        <v>64.75</v>
      </c>
      <c r="AL178" s="283">
        <v>89.5</v>
      </c>
      <c r="AM178" s="283">
        <v>84.75</v>
      </c>
      <c r="AN178" s="283">
        <v>130.5</v>
      </c>
      <c r="AO178" s="283">
        <v>182</v>
      </c>
      <c r="AP178" s="283">
        <v>163.5</v>
      </c>
      <c r="AQ178" s="283">
        <v>123.25</v>
      </c>
      <c r="AR178" s="283">
        <v>114.5</v>
      </c>
    </row>
    <row r="179" spans="1:44" s="283" customFormat="1" ht="31" customHeight="1" x14ac:dyDescent="0.25">
      <c r="A179" s="292" t="s">
        <v>294</v>
      </c>
      <c r="B179" s="292" t="s">
        <v>185</v>
      </c>
      <c r="AG179" s="283">
        <v>2333.5</v>
      </c>
      <c r="AH179" s="283">
        <v>3186.75</v>
      </c>
      <c r="AI179" s="283">
        <v>2054.25</v>
      </c>
      <c r="AJ179" s="283">
        <v>2715.25</v>
      </c>
      <c r="AK179" s="283">
        <v>2388.5</v>
      </c>
      <c r="AL179" s="283">
        <v>2892.5</v>
      </c>
      <c r="AM179" s="283">
        <v>1653.75</v>
      </c>
      <c r="AN179" s="283">
        <v>1751.5</v>
      </c>
      <c r="AO179" s="283">
        <v>1364.5</v>
      </c>
      <c r="AP179" s="283">
        <v>1450.5</v>
      </c>
      <c r="AQ179" s="283">
        <v>2198.25</v>
      </c>
      <c r="AR179" s="283">
        <v>1976.25</v>
      </c>
    </row>
    <row r="180" spans="1:44" s="283" customFormat="1" ht="31" customHeight="1" x14ac:dyDescent="0.25">
      <c r="A180" s="292" t="s">
        <v>295</v>
      </c>
      <c r="B180" s="292" t="s">
        <v>185</v>
      </c>
      <c r="AG180" s="283">
        <v>2</v>
      </c>
      <c r="AH180" s="283">
        <v>2</v>
      </c>
      <c r="AI180" s="283">
        <v>1</v>
      </c>
      <c r="AJ180" s="283">
        <v>1.25</v>
      </c>
      <c r="AK180" s="283">
        <v>1.25</v>
      </c>
      <c r="AL180" s="283">
        <v>1.5</v>
      </c>
      <c r="AM180" s="283">
        <v>1.5</v>
      </c>
      <c r="AN180" s="283">
        <v>2</v>
      </c>
      <c r="AO180" s="283">
        <v>2.75</v>
      </c>
      <c r="AP180" s="283">
        <v>3.75</v>
      </c>
      <c r="AQ180" s="283">
        <v>1.25</v>
      </c>
      <c r="AR180" s="283">
        <v>2</v>
      </c>
    </row>
    <row r="181" spans="1:44" s="283" customFormat="1" ht="31" customHeight="1" x14ac:dyDescent="0.25">
      <c r="A181" s="292" t="s">
        <v>296</v>
      </c>
      <c r="B181" s="292" t="s">
        <v>185</v>
      </c>
      <c r="AG181" s="283">
        <v>10.25</v>
      </c>
      <c r="AH181" s="283">
        <v>11.75</v>
      </c>
      <c r="AI181" s="283">
        <v>8</v>
      </c>
      <c r="AJ181" s="283">
        <v>9.75</v>
      </c>
      <c r="AK181" s="283">
        <v>7.75</v>
      </c>
      <c r="AL181" s="283">
        <v>11.25</v>
      </c>
      <c r="AM181" s="283">
        <v>7</v>
      </c>
      <c r="AN181" s="283">
        <v>14.25</v>
      </c>
      <c r="AO181" s="283">
        <v>16.25</v>
      </c>
      <c r="AP181" s="283">
        <v>20.75</v>
      </c>
      <c r="AQ181" s="283">
        <v>9.25</v>
      </c>
      <c r="AR181" s="283">
        <v>13.5</v>
      </c>
    </row>
    <row r="182" spans="1:44" s="283" customFormat="1" ht="31" customHeight="1" x14ac:dyDescent="0.25">
      <c r="A182" s="292" t="s">
        <v>297</v>
      </c>
      <c r="B182" s="292" t="s">
        <v>185</v>
      </c>
      <c r="AG182" s="283">
        <v>22.5</v>
      </c>
      <c r="AH182" s="283">
        <v>27.5</v>
      </c>
      <c r="AI182" s="283">
        <v>18</v>
      </c>
      <c r="AJ182" s="283">
        <v>17.75</v>
      </c>
      <c r="AK182" s="283">
        <v>15.25</v>
      </c>
      <c r="AL182" s="283">
        <v>27.75</v>
      </c>
      <c r="AM182" s="283">
        <v>16</v>
      </c>
      <c r="AN182" s="283">
        <v>28.25</v>
      </c>
      <c r="AO182" s="283">
        <v>40.5</v>
      </c>
      <c r="AP182" s="283">
        <v>38.5</v>
      </c>
      <c r="AQ182" s="283">
        <v>31</v>
      </c>
      <c r="AR182" s="283">
        <v>24.5</v>
      </c>
    </row>
    <row r="183" spans="1:44" s="283" customFormat="1" ht="31" customHeight="1" x14ac:dyDescent="0.25">
      <c r="A183" s="292" t="s">
        <v>298</v>
      </c>
      <c r="B183" s="292" t="s">
        <v>185</v>
      </c>
      <c r="AG183" s="283">
        <v>3966.25</v>
      </c>
      <c r="AH183" s="283">
        <v>3419.25</v>
      </c>
      <c r="AI183" s="283">
        <v>4207.5</v>
      </c>
      <c r="AJ183" s="283">
        <v>3809</v>
      </c>
      <c r="AK183" s="283">
        <v>4751.5</v>
      </c>
      <c r="AL183" s="283">
        <v>3610</v>
      </c>
      <c r="AM183" s="283">
        <v>4270.25</v>
      </c>
      <c r="AN183" s="283">
        <v>3070.5</v>
      </c>
      <c r="AO183" s="283">
        <v>1942.75</v>
      </c>
      <c r="AP183" s="283">
        <v>1992.25</v>
      </c>
      <c r="AQ183" s="283">
        <v>2948.75</v>
      </c>
      <c r="AR183" s="283">
        <v>2981.75</v>
      </c>
    </row>
    <row r="184" spans="1:44" s="283" customFormat="1" ht="31" customHeight="1" x14ac:dyDescent="0.25">
      <c r="A184" s="292" t="s">
        <v>299</v>
      </c>
      <c r="B184" s="292" t="s">
        <v>185</v>
      </c>
      <c r="AG184" s="283">
        <v>0.5</v>
      </c>
      <c r="AH184" s="283">
        <v>0.5</v>
      </c>
      <c r="AI184" s="283">
        <v>0.25</v>
      </c>
      <c r="AJ184" s="283">
        <v>0.25</v>
      </c>
      <c r="AK184" s="283">
        <v>0.25</v>
      </c>
      <c r="AL184" s="283">
        <v>0.25</v>
      </c>
      <c r="AM184" s="283">
        <v>0.25</v>
      </c>
      <c r="AN184" s="283">
        <v>1</v>
      </c>
      <c r="AO184" s="283">
        <v>1.5</v>
      </c>
      <c r="AP184" s="283">
        <v>1</v>
      </c>
      <c r="AQ184" s="283">
        <v>0.25</v>
      </c>
      <c r="AR184" s="283">
        <v>1</v>
      </c>
    </row>
    <row r="185" spans="1:44" s="283" customFormat="1" ht="31" customHeight="1" x14ac:dyDescent="0.25">
      <c r="A185" s="292" t="s">
        <v>300</v>
      </c>
      <c r="B185" s="292" t="s">
        <v>185</v>
      </c>
      <c r="AG185" s="283">
        <v>13</v>
      </c>
      <c r="AH185" s="283">
        <v>15</v>
      </c>
      <c r="AI185" s="283">
        <v>12</v>
      </c>
      <c r="AJ185" s="283">
        <v>10.5</v>
      </c>
      <c r="AK185" s="283">
        <v>10.25</v>
      </c>
      <c r="AL185" s="283">
        <v>10.25</v>
      </c>
      <c r="AM185" s="283">
        <v>10.75</v>
      </c>
      <c r="AN185" s="283">
        <v>19.75</v>
      </c>
      <c r="AO185" s="283">
        <v>25</v>
      </c>
      <c r="AP185" s="283">
        <v>25</v>
      </c>
      <c r="AQ185" s="283">
        <v>11.75</v>
      </c>
      <c r="AR185" s="283">
        <v>18.75</v>
      </c>
    </row>
    <row r="186" spans="1:44" s="283" customFormat="1" ht="31" customHeight="1" x14ac:dyDescent="0.25">
      <c r="A186" s="292" t="s">
        <v>301</v>
      </c>
      <c r="B186" s="292" t="s">
        <v>185</v>
      </c>
      <c r="AG186" s="283">
        <v>50</v>
      </c>
      <c r="AH186" s="283">
        <v>49</v>
      </c>
      <c r="AI186" s="283">
        <v>46.25</v>
      </c>
      <c r="AJ186" s="283">
        <v>40.5</v>
      </c>
      <c r="AK186" s="283">
        <v>42.5</v>
      </c>
      <c r="AL186" s="283">
        <v>34.25</v>
      </c>
      <c r="AM186" s="283">
        <v>53.75</v>
      </c>
      <c r="AN186" s="283">
        <v>89.75</v>
      </c>
      <c r="AO186" s="283">
        <v>83.25</v>
      </c>
      <c r="AP186" s="283">
        <v>93.25</v>
      </c>
      <c r="AQ186" s="283">
        <v>96</v>
      </c>
      <c r="AR186" s="283">
        <v>65</v>
      </c>
    </row>
    <row r="187" spans="1:44" s="283" customFormat="1" ht="31" customHeight="1" x14ac:dyDescent="0.25">
      <c r="A187" s="292" t="s">
        <v>302</v>
      </c>
      <c r="B187" s="292" t="s">
        <v>185</v>
      </c>
      <c r="AG187" s="283">
        <v>801</v>
      </c>
      <c r="AH187" s="283">
        <v>722.25</v>
      </c>
      <c r="AI187" s="283">
        <v>1233.5</v>
      </c>
      <c r="AJ187" s="283">
        <v>842</v>
      </c>
      <c r="AK187" s="283">
        <v>1201.5</v>
      </c>
      <c r="AL187" s="283">
        <v>806.5</v>
      </c>
      <c r="AM187" s="283">
        <v>2007.5</v>
      </c>
      <c r="AN187" s="283">
        <v>2645.25</v>
      </c>
      <c r="AO187" s="283">
        <v>3512</v>
      </c>
      <c r="AP187" s="283">
        <v>3564.25</v>
      </c>
      <c r="AQ187" s="283">
        <v>2592.75</v>
      </c>
      <c r="AR187" s="283">
        <v>3012.75</v>
      </c>
    </row>
    <row r="188" spans="1:44" s="283" customFormat="1" ht="31" customHeight="1" x14ac:dyDescent="0.25">
      <c r="A188" s="292" t="s">
        <v>303</v>
      </c>
      <c r="B188" s="292" t="s">
        <v>185</v>
      </c>
      <c r="AG188" s="283">
        <v>3038.75</v>
      </c>
      <c r="AH188" s="283">
        <v>2618.5</v>
      </c>
      <c r="AI188" s="283">
        <v>502.25</v>
      </c>
      <c r="AJ188" s="283">
        <v>721.25</v>
      </c>
      <c r="AK188" s="283">
        <v>552.75</v>
      </c>
      <c r="AL188" s="283">
        <v>1763.5</v>
      </c>
      <c r="AM188" s="283">
        <v>61.75</v>
      </c>
      <c r="AN188" s="283">
        <v>275</v>
      </c>
      <c r="AO188" s="283">
        <v>2824.75</v>
      </c>
      <c r="AP188" s="283">
        <v>2157</v>
      </c>
      <c r="AQ188" s="283">
        <v>1303.25</v>
      </c>
      <c r="AR188" s="283">
        <v>899.75</v>
      </c>
    </row>
    <row r="189" spans="1:44" s="283" customFormat="1" ht="31" customHeight="1" x14ac:dyDescent="0.25">
      <c r="A189" s="292" t="s">
        <v>304</v>
      </c>
      <c r="B189" s="292" t="s">
        <v>185</v>
      </c>
      <c r="AG189" s="283">
        <v>177.25</v>
      </c>
      <c r="AH189" s="283">
        <v>54.25</v>
      </c>
      <c r="AI189" s="283">
        <v>55</v>
      </c>
      <c r="AJ189" s="283">
        <v>0</v>
      </c>
      <c r="AK189" s="283">
        <v>115</v>
      </c>
      <c r="AL189" s="283">
        <v>49</v>
      </c>
      <c r="AM189" s="283">
        <v>44.75</v>
      </c>
      <c r="AN189" s="283">
        <v>98</v>
      </c>
      <c r="AO189" s="283">
        <v>50.75</v>
      </c>
      <c r="AP189" s="283">
        <v>62</v>
      </c>
      <c r="AQ189" s="283">
        <v>60.5</v>
      </c>
      <c r="AR189" s="283">
        <v>88.25</v>
      </c>
    </row>
    <row r="190" spans="1:44" s="283" customFormat="1" ht="31" customHeight="1" x14ac:dyDescent="0.25">
      <c r="A190" s="292" t="s">
        <v>305</v>
      </c>
      <c r="B190" s="292" t="s">
        <v>185</v>
      </c>
      <c r="AG190" s="283">
        <v>0</v>
      </c>
      <c r="AH190" s="283">
        <v>0</v>
      </c>
      <c r="AI190" s="283">
        <v>0</v>
      </c>
      <c r="AJ190" s="283">
        <v>1603.75</v>
      </c>
      <c r="AK190" s="283">
        <v>0</v>
      </c>
      <c r="AL190" s="283">
        <v>0</v>
      </c>
      <c r="AM190" s="283">
        <v>0</v>
      </c>
      <c r="AN190" s="283">
        <v>0</v>
      </c>
      <c r="AO190" s="283">
        <v>0</v>
      </c>
      <c r="AP190" s="283">
        <v>0</v>
      </c>
      <c r="AQ190" s="283">
        <v>0</v>
      </c>
      <c r="AR190" s="283">
        <v>0</v>
      </c>
    </row>
    <row r="191" spans="1:44" s="283" customFormat="1" ht="31" customHeight="1" x14ac:dyDescent="0.25">
      <c r="A191" s="292" t="s">
        <v>306</v>
      </c>
      <c r="B191" s="292" t="s">
        <v>203</v>
      </c>
      <c r="AG191" s="283">
        <v>100</v>
      </c>
      <c r="AH191" s="283">
        <v>100</v>
      </c>
      <c r="AI191" s="283">
        <v>100</v>
      </c>
      <c r="AJ191" s="283">
        <v>100</v>
      </c>
      <c r="AK191" s="283">
        <v>100</v>
      </c>
      <c r="AL191" s="283">
        <v>100</v>
      </c>
      <c r="AM191" s="283">
        <v>100</v>
      </c>
      <c r="AN191" s="283">
        <v>100</v>
      </c>
      <c r="AO191" s="283">
        <v>100</v>
      </c>
      <c r="AP191" s="283">
        <v>100</v>
      </c>
      <c r="AQ191" s="283">
        <v>100</v>
      </c>
      <c r="AR191" s="283">
        <v>100</v>
      </c>
    </row>
    <row r="192" spans="1:44" s="283" customFormat="1" ht="31" customHeight="1" x14ac:dyDescent="0.25">
      <c r="A192" s="292" t="s">
        <v>307</v>
      </c>
      <c r="B192" s="292" t="s">
        <v>203</v>
      </c>
      <c r="AG192" s="283">
        <v>12.7638888888888</v>
      </c>
      <c r="AH192" s="283">
        <v>10.6</v>
      </c>
      <c r="AI192" s="283">
        <v>17.125</v>
      </c>
      <c r="AJ192" s="283">
        <v>13.858333333333301</v>
      </c>
      <c r="AK192" s="283">
        <v>10.033333333333299</v>
      </c>
      <c r="AL192" s="283">
        <v>17.0555555555555</v>
      </c>
      <c r="AM192" s="283">
        <v>7.3472222222222197</v>
      </c>
      <c r="AN192" s="283">
        <v>8.2916666666666607</v>
      </c>
      <c r="AO192" s="283">
        <v>10.35</v>
      </c>
      <c r="AP192" s="283">
        <v>8.2277777777777708</v>
      </c>
      <c r="AQ192" s="283">
        <v>6.6277777777777702</v>
      </c>
      <c r="AR192" s="283">
        <v>7.6722222222222198</v>
      </c>
    </row>
    <row r="193" spans="1:44" s="283" customFormat="1" ht="31" customHeight="1" x14ac:dyDescent="0.25">
      <c r="A193" s="292" t="s">
        <v>308</v>
      </c>
      <c r="B193" s="292" t="s">
        <v>203</v>
      </c>
      <c r="AG193" s="283">
        <v>4.93611111111111</v>
      </c>
      <c r="AH193" s="283">
        <v>4.30555555555555</v>
      </c>
      <c r="AI193" s="283">
        <v>2.6944444444444402</v>
      </c>
      <c r="AJ193" s="283">
        <v>3.5916666666666601</v>
      </c>
      <c r="AK193" s="283">
        <v>2.35</v>
      </c>
      <c r="AL193" s="283">
        <v>2.6555555555555501</v>
      </c>
      <c r="AM193" s="283">
        <v>3.6888888888888798</v>
      </c>
      <c r="AN193" s="283">
        <v>3.3333333333333299</v>
      </c>
      <c r="AO193" s="283">
        <v>4.8833333333333302</v>
      </c>
      <c r="AP193" s="283">
        <v>4.8583333333333298</v>
      </c>
      <c r="AQ193" s="283">
        <v>4.49722222222222</v>
      </c>
      <c r="AR193" s="283">
        <v>3.7972222222222198</v>
      </c>
    </row>
    <row r="194" spans="1:44" s="283" customFormat="1" ht="31" customHeight="1" x14ac:dyDescent="0.25">
      <c r="A194" s="292" t="s">
        <v>309</v>
      </c>
      <c r="B194" s="292" t="s">
        <v>203</v>
      </c>
      <c r="AG194" s="283">
        <v>3.5333333333333301</v>
      </c>
      <c r="AH194" s="283">
        <v>2.7277777777777699</v>
      </c>
      <c r="AI194" s="283">
        <v>1.88055555555555</v>
      </c>
      <c r="AJ194" s="283">
        <v>2.4666666666666601</v>
      </c>
      <c r="AK194" s="283">
        <v>1.51111111111111</v>
      </c>
      <c r="AL194" s="283">
        <v>2.0638888888888798</v>
      </c>
      <c r="AM194" s="283">
        <v>2.2999999999999998</v>
      </c>
      <c r="AN194" s="283">
        <v>4.2722222222222204</v>
      </c>
      <c r="AO194" s="283">
        <v>6.05833333333333</v>
      </c>
      <c r="AP194" s="283">
        <v>5.62222222222222</v>
      </c>
      <c r="AQ194" s="283">
        <v>3.3138888888888798</v>
      </c>
      <c r="AR194" s="283">
        <v>3.6083333333333298</v>
      </c>
    </row>
    <row r="195" spans="1:44" s="283" customFormat="1" ht="31" customHeight="1" x14ac:dyDescent="0.25">
      <c r="A195" s="292" t="s">
        <v>310</v>
      </c>
      <c r="B195" s="292" t="s">
        <v>203</v>
      </c>
      <c r="AG195" s="283">
        <v>2.05555555555555</v>
      </c>
      <c r="AH195" s="283">
        <v>2.3250000000000002</v>
      </c>
      <c r="AI195" s="283">
        <v>1.61388888888888</v>
      </c>
      <c r="AJ195" s="283">
        <v>1.9694444444444399</v>
      </c>
      <c r="AK195" s="283">
        <v>1.2222222222222201</v>
      </c>
      <c r="AL195" s="283">
        <v>1.6583333333333301</v>
      </c>
      <c r="AM195" s="283">
        <v>1.61388888888888</v>
      </c>
      <c r="AN195" s="283">
        <v>2.5166666666666599</v>
      </c>
      <c r="AO195" s="283">
        <v>3.55833333333333</v>
      </c>
      <c r="AP195" s="283">
        <v>3.18333333333333</v>
      </c>
      <c r="AQ195" s="283">
        <v>2.2999999999999998</v>
      </c>
      <c r="AR195" s="283">
        <v>2.1972222222222202</v>
      </c>
    </row>
    <row r="196" spans="1:44" s="283" customFormat="1" ht="31" customHeight="1" x14ac:dyDescent="0.25">
      <c r="A196" s="292" t="s">
        <v>311</v>
      </c>
      <c r="B196" s="292" t="s">
        <v>203</v>
      </c>
      <c r="AG196" s="283">
        <v>24.586111111111101</v>
      </c>
      <c r="AH196" s="283">
        <v>33.950000000000003</v>
      </c>
      <c r="AI196" s="283">
        <v>20.886111111111099</v>
      </c>
      <c r="AJ196" s="283">
        <v>28.5</v>
      </c>
      <c r="AK196" s="283">
        <v>23.988888888888798</v>
      </c>
      <c r="AL196" s="283">
        <v>29.677777777777699</v>
      </c>
      <c r="AM196" s="283">
        <v>17.688888888888801</v>
      </c>
      <c r="AN196" s="283">
        <v>18.675000000000001</v>
      </c>
      <c r="AO196" s="283">
        <v>14.5194444444444</v>
      </c>
      <c r="AP196" s="283">
        <v>15.6666666666666</v>
      </c>
      <c r="AQ196" s="283">
        <v>23.127777777777698</v>
      </c>
      <c r="AR196" s="283">
        <v>20.186111111111099</v>
      </c>
    </row>
    <row r="197" spans="1:44" s="283" customFormat="1" ht="31" customHeight="1" x14ac:dyDescent="0.25">
      <c r="A197" s="292" t="s">
        <v>312</v>
      </c>
      <c r="B197" s="292" t="s">
        <v>203</v>
      </c>
      <c r="AG197" s="283">
        <v>0.19722222222222199</v>
      </c>
      <c r="AH197" s="283">
        <v>0.20555555555555499</v>
      </c>
      <c r="AI197" s="283">
        <v>0.105555555555555</v>
      </c>
      <c r="AJ197" s="283">
        <v>0.141666666666666</v>
      </c>
      <c r="AK197" s="283">
        <v>0.12777777777777699</v>
      </c>
      <c r="AL197" s="283">
        <v>0.13888888888888801</v>
      </c>
      <c r="AM197" s="283">
        <v>0.147222222222222</v>
      </c>
      <c r="AN197" s="283">
        <v>0.211111111111111</v>
      </c>
      <c r="AO197" s="283">
        <v>0.27222222222222198</v>
      </c>
      <c r="AP197" s="283">
        <v>0.34722222222222199</v>
      </c>
      <c r="AQ197" s="283">
        <v>0.113888888888888</v>
      </c>
      <c r="AR197" s="283">
        <v>0.20833333333333301</v>
      </c>
    </row>
    <row r="198" spans="1:44" s="283" customFormat="1" ht="31" customHeight="1" x14ac:dyDescent="0.25">
      <c r="A198" s="292" t="s">
        <v>313</v>
      </c>
      <c r="B198" s="292" t="s">
        <v>203</v>
      </c>
      <c r="AG198" s="283">
        <v>0.36666666666666597</v>
      </c>
      <c r="AH198" s="283">
        <v>0.41666666666666602</v>
      </c>
      <c r="AI198" s="283">
        <v>0.3</v>
      </c>
      <c r="AJ198" s="283">
        <v>0.358333333333333</v>
      </c>
      <c r="AK198" s="283">
        <v>0.29444444444444401</v>
      </c>
      <c r="AL198" s="283">
        <v>0.4</v>
      </c>
      <c r="AM198" s="283">
        <v>0.25277777777777699</v>
      </c>
      <c r="AN198" s="283">
        <v>0.51666666666666605</v>
      </c>
      <c r="AO198" s="283">
        <v>0.56944444444444398</v>
      </c>
      <c r="AP198" s="283">
        <v>0.76388888888888795</v>
      </c>
      <c r="AQ198" s="283">
        <v>0.33333333333333298</v>
      </c>
      <c r="AR198" s="283">
        <v>0.47777777777777702</v>
      </c>
    </row>
    <row r="199" spans="1:44" s="283" customFormat="1" ht="31" customHeight="1" x14ac:dyDescent="0.25">
      <c r="A199" s="292" t="s">
        <v>314</v>
      </c>
      <c r="B199" s="292" t="s">
        <v>203</v>
      </c>
      <c r="AG199" s="283">
        <v>0.44166666666666599</v>
      </c>
      <c r="AH199" s="283">
        <v>0.51944444444444404</v>
      </c>
      <c r="AI199" s="283">
        <v>0.33333333333333298</v>
      </c>
      <c r="AJ199" s="283">
        <v>0.33611111111111103</v>
      </c>
      <c r="AK199" s="283">
        <v>0.28888888888888797</v>
      </c>
      <c r="AL199" s="283">
        <v>0.52500000000000002</v>
      </c>
      <c r="AM199" s="283">
        <v>0.30555555555555503</v>
      </c>
      <c r="AN199" s="283">
        <v>0.53888888888888797</v>
      </c>
      <c r="AO199" s="283">
        <v>0.78333333333333299</v>
      </c>
      <c r="AP199" s="283">
        <v>0.74444444444444402</v>
      </c>
      <c r="AQ199" s="283">
        <v>0.57222222222222197</v>
      </c>
      <c r="AR199" s="283">
        <v>0.47499999999999998</v>
      </c>
    </row>
    <row r="200" spans="1:44" s="283" customFormat="1" ht="31" customHeight="1" x14ac:dyDescent="0.25">
      <c r="A200" s="292" t="s">
        <v>315</v>
      </c>
      <c r="B200" s="292" t="s">
        <v>203</v>
      </c>
      <c r="AG200" s="283">
        <v>41.038888888888799</v>
      </c>
      <c r="AH200" s="283">
        <v>35.627777777777702</v>
      </c>
      <c r="AI200" s="283">
        <v>41.147222222222197</v>
      </c>
      <c r="AJ200" s="283">
        <v>38.761111111111099</v>
      </c>
      <c r="AK200" s="283">
        <v>46.683333333333302</v>
      </c>
      <c r="AL200" s="283">
        <v>36.391666666666602</v>
      </c>
      <c r="AM200" s="283">
        <v>44.052777777777699</v>
      </c>
      <c r="AN200" s="283">
        <v>31.408333333333299</v>
      </c>
      <c r="AO200" s="283">
        <v>19.9861111111111</v>
      </c>
      <c r="AP200" s="283">
        <v>20.7777777777777</v>
      </c>
      <c r="AQ200" s="283">
        <v>29.9305555555555</v>
      </c>
      <c r="AR200" s="283">
        <v>29.211111111111101</v>
      </c>
    </row>
    <row r="201" spans="1:44" s="283" customFormat="1" ht="31" customHeight="1" x14ac:dyDescent="0.25">
      <c r="A201" s="292" t="s">
        <v>316</v>
      </c>
      <c r="B201" s="292" t="s">
        <v>203</v>
      </c>
      <c r="AG201" s="283">
        <v>4.1666666666666602E-2</v>
      </c>
      <c r="AH201" s="283">
        <v>5.2777777777777701E-2</v>
      </c>
      <c r="AI201" s="283">
        <v>3.6111111111111101E-2</v>
      </c>
      <c r="AJ201" s="283">
        <v>2.77777777777777E-2</v>
      </c>
      <c r="AK201" s="283">
        <v>3.3333333333333298E-2</v>
      </c>
      <c r="AL201" s="283">
        <v>3.0555555555555499E-2</v>
      </c>
      <c r="AM201" s="283">
        <v>3.8888888888888799E-2</v>
      </c>
      <c r="AN201" s="283">
        <v>9.1666666666666605E-2</v>
      </c>
      <c r="AO201" s="283">
        <v>0.13888888888888801</v>
      </c>
      <c r="AP201" s="283">
        <v>9.1666666666666605E-2</v>
      </c>
      <c r="AQ201" s="283">
        <v>3.0555555555555499E-2</v>
      </c>
      <c r="AR201" s="283">
        <v>8.8888888888888795E-2</v>
      </c>
    </row>
    <row r="202" spans="1:44" s="283" customFormat="1" ht="31" customHeight="1" x14ac:dyDescent="0.25">
      <c r="A202" s="292" t="s">
        <v>317</v>
      </c>
      <c r="B202" s="292" t="s">
        <v>203</v>
      </c>
      <c r="AG202" s="283">
        <v>0.43333333333333302</v>
      </c>
      <c r="AH202" s="283">
        <v>0.50833333333333297</v>
      </c>
      <c r="AI202" s="283">
        <v>0.405555555555555</v>
      </c>
      <c r="AJ202" s="283">
        <v>0.35</v>
      </c>
      <c r="AK202" s="283">
        <v>0.34166666666666601</v>
      </c>
      <c r="AL202" s="283">
        <v>0.35277777777777702</v>
      </c>
      <c r="AM202" s="283">
        <v>0.36388888888888798</v>
      </c>
      <c r="AN202" s="283">
        <v>0.655555555555555</v>
      </c>
      <c r="AO202" s="283">
        <v>0.84722222222222199</v>
      </c>
      <c r="AP202" s="283">
        <v>0.83888888888888802</v>
      </c>
      <c r="AQ202" s="283">
        <v>0.37222222222222201</v>
      </c>
      <c r="AR202" s="283">
        <v>0.63333333333333297</v>
      </c>
    </row>
    <row r="203" spans="1:44" s="283" customFormat="1" ht="31" customHeight="1" x14ac:dyDescent="0.25">
      <c r="A203" s="292" t="s">
        <v>318</v>
      </c>
      <c r="B203" s="292" t="s">
        <v>203</v>
      </c>
      <c r="AG203" s="283">
        <v>0.94722222222222197</v>
      </c>
      <c r="AH203" s="283">
        <v>0.93333333333333302</v>
      </c>
      <c r="AI203" s="283">
        <v>0.87222222222222201</v>
      </c>
      <c r="AJ203" s="283">
        <v>0.76666666666666605</v>
      </c>
      <c r="AK203" s="283">
        <v>0.80277777777777704</v>
      </c>
      <c r="AL203" s="283">
        <v>0.65277777777777701</v>
      </c>
      <c r="AM203" s="283">
        <v>1.00555555555555</v>
      </c>
      <c r="AN203" s="283">
        <v>1.69444444444444</v>
      </c>
      <c r="AO203" s="283">
        <v>1.56666666666666</v>
      </c>
      <c r="AP203" s="283">
        <v>1.75833333333333</v>
      </c>
      <c r="AQ203" s="283">
        <v>1.7777777777777699</v>
      </c>
      <c r="AR203" s="283">
        <v>1.24444444444444</v>
      </c>
    </row>
    <row r="204" spans="1:44" s="283" customFormat="1" ht="31" customHeight="1" x14ac:dyDescent="0.25">
      <c r="A204" s="292" t="s">
        <v>319</v>
      </c>
      <c r="B204" s="292" t="s">
        <v>203</v>
      </c>
      <c r="AG204" s="283">
        <v>8.6444444444444404</v>
      </c>
      <c r="AH204" s="283">
        <v>7.8138888888888802</v>
      </c>
      <c r="AI204" s="283">
        <v>12.577777777777699</v>
      </c>
      <c r="AJ204" s="283">
        <v>8.8583333333333307</v>
      </c>
      <c r="AK204" s="283">
        <v>12.3</v>
      </c>
      <c r="AL204" s="283">
        <v>8.3833333333333293</v>
      </c>
      <c r="AM204" s="283">
        <v>21.175000000000001</v>
      </c>
      <c r="AN204" s="283">
        <v>27.783333333333299</v>
      </c>
      <c r="AO204" s="283">
        <v>36.4583333333333</v>
      </c>
      <c r="AP204" s="283">
        <v>37.1</v>
      </c>
      <c r="AQ204" s="283">
        <v>26.9861111111111</v>
      </c>
      <c r="AR204" s="283">
        <v>30.183333333333302</v>
      </c>
    </row>
    <row r="205" spans="1:44" s="283" customFormat="1" ht="31" customHeight="1" x14ac:dyDescent="0.25">
      <c r="A205" s="292" t="s">
        <v>320</v>
      </c>
      <c r="B205" s="292" t="s">
        <v>203</v>
      </c>
      <c r="AG205" s="283">
        <v>31.877777777777698</v>
      </c>
      <c r="AH205" s="283">
        <v>27.941666666666599</v>
      </c>
      <c r="AI205" s="283">
        <v>5.1277777777777702</v>
      </c>
      <c r="AJ205" s="283">
        <v>7.68055555555555</v>
      </c>
      <c r="AK205" s="283">
        <v>5.5805555555555504</v>
      </c>
      <c r="AL205" s="283">
        <v>18.3805555555555</v>
      </c>
      <c r="AM205" s="283">
        <v>0.73888888888888804</v>
      </c>
      <c r="AN205" s="283">
        <v>3.2666666666666599</v>
      </c>
      <c r="AO205" s="283">
        <v>30.191666666666599</v>
      </c>
      <c r="AP205" s="283">
        <v>23.074999999999999</v>
      </c>
      <c r="AQ205" s="283">
        <v>13.9916666666666</v>
      </c>
      <c r="AR205" s="283">
        <v>9.18611111111111</v>
      </c>
    </row>
    <row r="206" spans="1:44" s="283" customFormat="1" ht="31" customHeight="1" x14ac:dyDescent="0.25">
      <c r="A206" s="292" t="s">
        <v>321</v>
      </c>
      <c r="B206" s="292" t="s">
        <v>203</v>
      </c>
      <c r="AG206" s="283">
        <v>1.94166666666666</v>
      </c>
      <c r="AH206" s="283">
        <v>0.688888888888888</v>
      </c>
      <c r="AI206" s="283">
        <v>0.58333333333333304</v>
      </c>
      <c r="AJ206" s="283">
        <v>0</v>
      </c>
      <c r="AK206" s="283">
        <v>1.25277777777777</v>
      </c>
      <c r="AL206" s="283">
        <v>0.49444444444444402</v>
      </c>
      <c r="AM206" s="283">
        <v>0.58055555555555505</v>
      </c>
      <c r="AN206" s="283">
        <v>1.12222222222222</v>
      </c>
      <c r="AO206" s="283">
        <v>0.58611111111111103</v>
      </c>
      <c r="AP206" s="283">
        <v>0.66944444444444395</v>
      </c>
      <c r="AQ206" s="283">
        <v>0.58611111111111103</v>
      </c>
      <c r="AR206" s="283">
        <v>0.844444444444444</v>
      </c>
    </row>
    <row r="207" spans="1:44" s="283" customFormat="1" ht="31" customHeight="1" x14ac:dyDescent="0.25">
      <c r="A207" s="292" t="s">
        <v>322</v>
      </c>
      <c r="B207" s="292" t="s">
        <v>203</v>
      </c>
      <c r="AG207" s="283">
        <v>0</v>
      </c>
      <c r="AH207" s="283">
        <v>0</v>
      </c>
      <c r="AI207" s="283">
        <v>0</v>
      </c>
      <c r="AJ207" s="283">
        <v>20.786111111111101</v>
      </c>
      <c r="AK207" s="283">
        <v>0</v>
      </c>
      <c r="AL207" s="283">
        <v>0</v>
      </c>
      <c r="AM207" s="283">
        <v>0</v>
      </c>
      <c r="AN207" s="283">
        <v>0</v>
      </c>
      <c r="AO207" s="283">
        <v>0</v>
      </c>
      <c r="AP207" s="283">
        <v>0</v>
      </c>
      <c r="AQ207" s="283">
        <v>0</v>
      </c>
      <c r="AR207" s="283">
        <v>0</v>
      </c>
    </row>
    <row r="208" spans="1:44" s="283" customFormat="1" ht="31" customHeight="1" x14ac:dyDescent="0.25">
      <c r="A208" s="292" t="s">
        <v>323</v>
      </c>
      <c r="B208" s="292" t="s">
        <v>221</v>
      </c>
      <c r="AG208" s="283">
        <v>2174.5</v>
      </c>
      <c r="AH208" s="283">
        <v>2114</v>
      </c>
      <c r="AI208" s="283">
        <v>2325.5</v>
      </c>
      <c r="AJ208" s="283">
        <v>2206</v>
      </c>
      <c r="AK208" s="283">
        <v>2551.5</v>
      </c>
      <c r="AL208" s="283">
        <v>2110</v>
      </c>
      <c r="AM208" s="283">
        <v>2489.5</v>
      </c>
      <c r="AN208" s="283">
        <v>2478.5</v>
      </c>
      <c r="AO208" s="283">
        <v>2640.5</v>
      </c>
      <c r="AP208" s="283">
        <v>2679</v>
      </c>
      <c r="AQ208" s="283">
        <v>2469</v>
      </c>
      <c r="AR208" s="283">
        <v>2643.5</v>
      </c>
    </row>
    <row r="209" spans="1:44" s="283" customFormat="1" ht="31" customHeight="1" x14ac:dyDescent="0.25">
      <c r="A209" s="292" t="s">
        <v>324</v>
      </c>
      <c r="B209" s="292" t="s">
        <v>221</v>
      </c>
      <c r="AG209" s="283">
        <v>25.5</v>
      </c>
      <c r="AH209" s="283">
        <v>25</v>
      </c>
      <c r="AI209" s="283">
        <v>32.5</v>
      </c>
      <c r="AJ209" s="283">
        <v>28.5</v>
      </c>
      <c r="AK209" s="283">
        <v>21</v>
      </c>
      <c r="AL209" s="283">
        <v>33.5</v>
      </c>
      <c r="AM209" s="283">
        <v>14.5</v>
      </c>
      <c r="AN209" s="283">
        <v>16.5</v>
      </c>
      <c r="AO209" s="283">
        <v>21.5</v>
      </c>
      <c r="AP209" s="283">
        <v>16</v>
      </c>
      <c r="AQ209" s="283">
        <v>13.5</v>
      </c>
      <c r="AR209" s="283">
        <v>16</v>
      </c>
    </row>
    <row r="210" spans="1:44" s="283" customFormat="1" ht="31" customHeight="1" x14ac:dyDescent="0.25">
      <c r="A210" s="292" t="s">
        <v>325</v>
      </c>
      <c r="B210" s="292" t="s">
        <v>221</v>
      </c>
      <c r="AG210" s="283">
        <v>22.5</v>
      </c>
      <c r="AH210" s="283">
        <v>21.5</v>
      </c>
      <c r="AI210" s="283">
        <v>13.5</v>
      </c>
      <c r="AJ210" s="283">
        <v>18</v>
      </c>
      <c r="AK210" s="283">
        <v>12</v>
      </c>
      <c r="AL210" s="283">
        <v>13</v>
      </c>
      <c r="AM210" s="283">
        <v>15.5</v>
      </c>
      <c r="AN210" s="283">
        <v>15.5</v>
      </c>
      <c r="AO210" s="283">
        <v>21</v>
      </c>
      <c r="AP210" s="283">
        <v>21.5</v>
      </c>
      <c r="AQ210" s="283">
        <v>20</v>
      </c>
      <c r="AR210" s="283">
        <v>16</v>
      </c>
    </row>
    <row r="211" spans="1:44" s="283" customFormat="1" ht="31" customHeight="1" x14ac:dyDescent="0.25">
      <c r="A211" s="292" t="s">
        <v>326</v>
      </c>
      <c r="B211" s="292" t="s">
        <v>221</v>
      </c>
      <c r="AG211" s="283">
        <v>20.5</v>
      </c>
      <c r="AH211" s="283">
        <v>14</v>
      </c>
      <c r="AI211" s="283">
        <v>9</v>
      </c>
      <c r="AJ211" s="283">
        <v>12</v>
      </c>
      <c r="AK211" s="283">
        <v>8</v>
      </c>
      <c r="AL211" s="283">
        <v>11</v>
      </c>
      <c r="AM211" s="283">
        <v>9.5</v>
      </c>
      <c r="AN211" s="283">
        <v>23</v>
      </c>
      <c r="AO211" s="283">
        <v>32</v>
      </c>
      <c r="AP211" s="283">
        <v>28.5</v>
      </c>
      <c r="AQ211" s="283">
        <v>15.5</v>
      </c>
      <c r="AR211" s="283">
        <v>15.5</v>
      </c>
    </row>
    <row r="212" spans="1:44" s="283" customFormat="1" ht="31" customHeight="1" x14ac:dyDescent="0.25">
      <c r="A212" s="292" t="s">
        <v>327</v>
      </c>
      <c r="B212" s="292" t="s">
        <v>221</v>
      </c>
      <c r="AG212" s="283">
        <v>12</v>
      </c>
      <c r="AH212" s="283">
        <v>11.5</v>
      </c>
      <c r="AI212" s="283">
        <v>7</v>
      </c>
      <c r="AJ212" s="283">
        <v>7.5</v>
      </c>
      <c r="AK212" s="283">
        <v>6</v>
      </c>
      <c r="AL212" s="283">
        <v>9</v>
      </c>
      <c r="AM212" s="283">
        <v>7</v>
      </c>
      <c r="AN212" s="283">
        <v>11</v>
      </c>
      <c r="AO212" s="283">
        <v>20.5</v>
      </c>
      <c r="AP212" s="283">
        <v>16</v>
      </c>
      <c r="AQ212" s="283">
        <v>10</v>
      </c>
      <c r="AR212" s="283">
        <v>9</v>
      </c>
    </row>
    <row r="213" spans="1:44" s="283" customFormat="1" ht="31" customHeight="1" x14ac:dyDescent="0.25">
      <c r="A213" s="292" t="s">
        <v>328</v>
      </c>
      <c r="B213" s="292" t="s">
        <v>221</v>
      </c>
      <c r="AG213" s="283">
        <v>338</v>
      </c>
      <c r="AH213" s="283">
        <v>452</v>
      </c>
      <c r="AI213" s="283">
        <v>292.5</v>
      </c>
      <c r="AJ213" s="283">
        <v>410.5</v>
      </c>
      <c r="AK213" s="283">
        <v>350.5</v>
      </c>
      <c r="AL213" s="283">
        <v>429.5</v>
      </c>
      <c r="AM213" s="283">
        <v>165</v>
      </c>
      <c r="AN213" s="283">
        <v>154.5</v>
      </c>
      <c r="AO213" s="283">
        <v>137.5</v>
      </c>
      <c r="AP213" s="283">
        <v>135</v>
      </c>
      <c r="AQ213" s="283">
        <v>237.5</v>
      </c>
      <c r="AR213" s="283">
        <v>206</v>
      </c>
    </row>
    <row r="214" spans="1:44" s="283" customFormat="1" ht="31" customHeight="1" x14ac:dyDescent="0.25">
      <c r="A214" s="292" t="s">
        <v>329</v>
      </c>
      <c r="B214" s="292" t="s">
        <v>221</v>
      </c>
      <c r="AG214" s="283">
        <v>6</v>
      </c>
      <c r="AH214" s="283">
        <v>6</v>
      </c>
      <c r="AI214" s="283">
        <v>3</v>
      </c>
      <c r="AJ214" s="283">
        <v>4</v>
      </c>
      <c r="AK214" s="283">
        <v>3.5</v>
      </c>
      <c r="AL214" s="283">
        <v>4</v>
      </c>
      <c r="AM214" s="283">
        <v>4</v>
      </c>
      <c r="AN214" s="283">
        <v>5.5</v>
      </c>
      <c r="AO214" s="283">
        <v>7</v>
      </c>
      <c r="AP214" s="283">
        <v>9</v>
      </c>
      <c r="AQ214" s="283">
        <v>3</v>
      </c>
      <c r="AR214" s="283">
        <v>5.5</v>
      </c>
    </row>
    <row r="215" spans="1:44" s="283" customFormat="1" ht="31" customHeight="1" x14ac:dyDescent="0.25">
      <c r="A215" s="292" t="s">
        <v>330</v>
      </c>
      <c r="B215" s="292" t="s">
        <v>221</v>
      </c>
      <c r="AG215" s="283">
        <v>11.5</v>
      </c>
      <c r="AH215" s="283">
        <v>13</v>
      </c>
      <c r="AI215" s="283">
        <v>9.5</v>
      </c>
      <c r="AJ215" s="283">
        <v>11.5</v>
      </c>
      <c r="AK215" s="283">
        <v>9</v>
      </c>
      <c r="AL215" s="283">
        <v>12.5</v>
      </c>
      <c r="AM215" s="283">
        <v>7</v>
      </c>
      <c r="AN215" s="283">
        <v>14</v>
      </c>
      <c r="AO215" s="283">
        <v>15</v>
      </c>
      <c r="AP215" s="283">
        <v>20</v>
      </c>
      <c r="AQ215" s="283">
        <v>9</v>
      </c>
      <c r="AR215" s="283">
        <v>13</v>
      </c>
    </row>
    <row r="216" spans="1:44" s="283" customFormat="1" ht="31" customHeight="1" x14ac:dyDescent="0.25">
      <c r="A216" s="292" t="s">
        <v>331</v>
      </c>
      <c r="B216" s="292" t="s">
        <v>221</v>
      </c>
      <c r="AG216" s="283">
        <v>13.5</v>
      </c>
      <c r="AH216" s="283">
        <v>16</v>
      </c>
      <c r="AI216" s="283">
        <v>10</v>
      </c>
      <c r="AJ216" s="283">
        <v>11</v>
      </c>
      <c r="AK216" s="283">
        <v>9</v>
      </c>
      <c r="AL216" s="283">
        <v>16</v>
      </c>
      <c r="AM216" s="283">
        <v>8</v>
      </c>
      <c r="AN216" s="283">
        <v>14.5</v>
      </c>
      <c r="AO216" s="283">
        <v>20.5</v>
      </c>
      <c r="AP216" s="283">
        <v>20</v>
      </c>
      <c r="AQ216" s="283">
        <v>15.5</v>
      </c>
      <c r="AR216" s="283">
        <v>13</v>
      </c>
    </row>
    <row r="217" spans="1:44" s="283" customFormat="1" ht="31" customHeight="1" x14ac:dyDescent="0.25">
      <c r="A217" s="292" t="s">
        <v>332</v>
      </c>
      <c r="B217" s="292" t="s">
        <v>221</v>
      </c>
      <c r="AG217" s="283">
        <v>1186</v>
      </c>
      <c r="AH217" s="283">
        <v>1039.5</v>
      </c>
      <c r="AI217" s="283">
        <v>1217.5</v>
      </c>
      <c r="AJ217" s="283">
        <v>1163.5</v>
      </c>
      <c r="AK217" s="283">
        <v>1404.5</v>
      </c>
      <c r="AL217" s="283">
        <v>1090.5</v>
      </c>
      <c r="AM217" s="283">
        <v>1222.5</v>
      </c>
      <c r="AN217" s="283">
        <v>848.5</v>
      </c>
      <c r="AO217" s="283">
        <v>555.5</v>
      </c>
      <c r="AP217" s="283">
        <v>575</v>
      </c>
      <c r="AQ217" s="283">
        <v>822.5</v>
      </c>
      <c r="AR217" s="283">
        <v>849</v>
      </c>
    </row>
    <row r="218" spans="1:44" s="283" customFormat="1" ht="31" customHeight="1" x14ac:dyDescent="0.25">
      <c r="A218" s="292" t="s">
        <v>333</v>
      </c>
      <c r="B218" s="292" t="s">
        <v>221</v>
      </c>
      <c r="AG218" s="283">
        <v>2</v>
      </c>
      <c r="AH218" s="283">
        <v>3</v>
      </c>
      <c r="AI218" s="283">
        <v>2</v>
      </c>
      <c r="AJ218" s="283">
        <v>1.5</v>
      </c>
      <c r="AK218" s="283">
        <v>1.5</v>
      </c>
      <c r="AL218" s="283">
        <v>1.5</v>
      </c>
      <c r="AM218" s="283">
        <v>1.5</v>
      </c>
      <c r="AN218" s="283">
        <v>4</v>
      </c>
      <c r="AO218" s="283">
        <v>6.5</v>
      </c>
      <c r="AP218" s="283">
        <v>4</v>
      </c>
      <c r="AQ218" s="283">
        <v>1</v>
      </c>
      <c r="AR218" s="283">
        <v>4</v>
      </c>
    </row>
    <row r="219" spans="1:44" s="283" customFormat="1" ht="31" customHeight="1" x14ac:dyDescent="0.25">
      <c r="A219" s="292" t="s">
        <v>334</v>
      </c>
      <c r="B219" s="292" t="s">
        <v>221</v>
      </c>
      <c r="AG219" s="283">
        <v>25.5</v>
      </c>
      <c r="AH219" s="283">
        <v>32</v>
      </c>
      <c r="AI219" s="283">
        <v>25</v>
      </c>
      <c r="AJ219" s="283">
        <v>21</v>
      </c>
      <c r="AK219" s="283">
        <v>20.5</v>
      </c>
      <c r="AL219" s="283">
        <v>19.5</v>
      </c>
      <c r="AM219" s="283">
        <v>19.5</v>
      </c>
      <c r="AN219" s="283">
        <v>32.5</v>
      </c>
      <c r="AO219" s="283">
        <v>47.5</v>
      </c>
      <c r="AP219" s="283">
        <v>43</v>
      </c>
      <c r="AQ219" s="283">
        <v>18.5</v>
      </c>
      <c r="AR219" s="283">
        <v>34.5</v>
      </c>
    </row>
    <row r="220" spans="1:44" s="283" customFormat="1" ht="31" customHeight="1" x14ac:dyDescent="0.25">
      <c r="A220" s="292" t="s">
        <v>335</v>
      </c>
      <c r="B220" s="292" t="s">
        <v>221</v>
      </c>
      <c r="AG220" s="283">
        <v>57.5</v>
      </c>
      <c r="AH220" s="283">
        <v>59.5</v>
      </c>
      <c r="AI220" s="283">
        <v>55</v>
      </c>
      <c r="AJ220" s="283">
        <v>47.5</v>
      </c>
      <c r="AK220" s="283">
        <v>51.5</v>
      </c>
      <c r="AL220" s="283">
        <v>36</v>
      </c>
      <c r="AM220" s="283">
        <v>58</v>
      </c>
      <c r="AN220" s="283">
        <v>94</v>
      </c>
      <c r="AO220" s="283">
        <v>90.5</v>
      </c>
      <c r="AP220" s="283">
        <v>96.5</v>
      </c>
      <c r="AQ220" s="283">
        <v>99.5</v>
      </c>
      <c r="AR220" s="283">
        <v>71.5</v>
      </c>
    </row>
    <row r="221" spans="1:44" s="283" customFormat="1" ht="31" customHeight="1" x14ac:dyDescent="0.25">
      <c r="A221" s="292" t="s">
        <v>336</v>
      </c>
      <c r="B221" s="292" t="s">
        <v>221</v>
      </c>
      <c r="AG221" s="283">
        <v>451</v>
      </c>
      <c r="AH221" s="283">
        <v>418</v>
      </c>
      <c r="AI221" s="283">
        <v>647</v>
      </c>
      <c r="AJ221" s="283">
        <v>466.5</v>
      </c>
      <c r="AK221" s="283">
        <v>651.5</v>
      </c>
      <c r="AL221" s="283">
        <v>431</v>
      </c>
      <c r="AM221" s="283">
        <v>955</v>
      </c>
      <c r="AN221" s="283">
        <v>1242.5</v>
      </c>
      <c r="AO221" s="283">
        <v>1663</v>
      </c>
      <c r="AP221" s="283">
        <v>1692.5</v>
      </c>
      <c r="AQ221" s="283">
        <v>1201</v>
      </c>
      <c r="AR221" s="283">
        <v>1387.5</v>
      </c>
    </row>
    <row r="222" spans="1:44" s="283" customFormat="1" ht="31" customHeight="1" x14ac:dyDescent="0.25">
      <c r="A222" s="292" t="s">
        <v>337</v>
      </c>
      <c r="B222" s="292" t="s">
        <v>221</v>
      </c>
      <c r="AG222" s="283">
        <v>952</v>
      </c>
      <c r="AH222" s="283">
        <v>880</v>
      </c>
      <c r="AI222" s="283">
        <v>148.5</v>
      </c>
      <c r="AJ222" s="283">
        <v>219</v>
      </c>
      <c r="AK222" s="283">
        <v>164.5</v>
      </c>
      <c r="AL222" s="283">
        <v>549</v>
      </c>
      <c r="AM222" s="283">
        <v>26</v>
      </c>
      <c r="AN222" s="283">
        <v>111.5</v>
      </c>
      <c r="AO222" s="283">
        <v>1137.5</v>
      </c>
      <c r="AP222" s="283">
        <v>883</v>
      </c>
      <c r="AQ222" s="283">
        <v>509</v>
      </c>
      <c r="AR222" s="283">
        <v>328.5</v>
      </c>
    </row>
    <row r="223" spans="1:44" s="283" customFormat="1" ht="31" customHeight="1" x14ac:dyDescent="0.25">
      <c r="A223" s="292" t="s">
        <v>338</v>
      </c>
      <c r="B223" s="292" t="s">
        <v>221</v>
      </c>
      <c r="AG223" s="283">
        <v>66</v>
      </c>
      <c r="AH223" s="283">
        <v>16</v>
      </c>
      <c r="AI223" s="283">
        <v>25.5</v>
      </c>
      <c r="AJ223" s="283">
        <v>0</v>
      </c>
      <c r="AK223" s="283">
        <v>47</v>
      </c>
      <c r="AL223" s="283">
        <v>18</v>
      </c>
      <c r="AM223" s="283">
        <v>16</v>
      </c>
      <c r="AN223" s="283">
        <v>29</v>
      </c>
      <c r="AO223" s="283">
        <v>24</v>
      </c>
      <c r="AP223" s="283">
        <v>12</v>
      </c>
      <c r="AQ223" s="283">
        <v>11.5</v>
      </c>
      <c r="AR223" s="283">
        <v>32</v>
      </c>
    </row>
    <row r="224" spans="1:44" s="283" customFormat="1" ht="31" customHeight="1" x14ac:dyDescent="0.25">
      <c r="A224" s="292" t="s">
        <v>339</v>
      </c>
      <c r="B224" s="292" t="s">
        <v>221</v>
      </c>
      <c r="AG224" s="283">
        <v>0</v>
      </c>
      <c r="AH224" s="283">
        <v>0</v>
      </c>
      <c r="AI224" s="283">
        <v>0</v>
      </c>
      <c r="AJ224" s="283">
        <v>495</v>
      </c>
      <c r="AK224" s="283">
        <v>0</v>
      </c>
      <c r="AL224" s="283">
        <v>0</v>
      </c>
      <c r="AM224" s="283">
        <v>0</v>
      </c>
      <c r="AN224" s="283">
        <v>0</v>
      </c>
      <c r="AO224" s="283">
        <v>0</v>
      </c>
      <c r="AP224" s="283">
        <v>0</v>
      </c>
      <c r="AQ224" s="283">
        <v>0</v>
      </c>
      <c r="AR224" s="283">
        <v>0</v>
      </c>
    </row>
    <row r="225" spans="1:44" s="283" customFormat="1" ht="31" customHeight="1" x14ac:dyDescent="0.25">
      <c r="A225" s="292" t="s">
        <v>340</v>
      </c>
      <c r="B225" s="292" t="s">
        <v>132</v>
      </c>
      <c r="AG225" s="283">
        <v>114308</v>
      </c>
      <c r="AH225" s="283">
        <v>863704</v>
      </c>
      <c r="AI225" s="283">
        <v>954976</v>
      </c>
      <c r="AJ225" s="283">
        <v>557987</v>
      </c>
      <c r="AK225" s="283">
        <v>958158</v>
      </c>
      <c r="AL225" s="283">
        <v>777193</v>
      </c>
      <c r="AM225" s="283">
        <v>807452</v>
      </c>
      <c r="AN225" s="283">
        <v>1115307</v>
      </c>
      <c r="AO225" s="283">
        <v>1166453</v>
      </c>
      <c r="AP225" s="283">
        <v>965381</v>
      </c>
      <c r="AQ225" s="283">
        <v>895980</v>
      </c>
      <c r="AR225" s="283">
        <v>1073523</v>
      </c>
    </row>
    <row r="226" spans="1:44" s="283" customFormat="1" ht="31" customHeight="1" x14ac:dyDescent="0.25">
      <c r="A226" s="292" t="s">
        <v>341</v>
      </c>
      <c r="B226" s="292" t="s">
        <v>132</v>
      </c>
      <c r="AG226" s="283">
        <v>320</v>
      </c>
      <c r="AH226" s="283">
        <v>1863</v>
      </c>
      <c r="AI226" s="283">
        <v>2074</v>
      </c>
      <c r="AJ226" s="283">
        <v>1391</v>
      </c>
      <c r="AK226" s="283">
        <v>1153</v>
      </c>
      <c r="AL226" s="283">
        <v>1522</v>
      </c>
      <c r="AM226" s="283">
        <v>1436</v>
      </c>
      <c r="AN226" s="283">
        <v>1565</v>
      </c>
      <c r="AO226" s="283">
        <v>1532</v>
      </c>
      <c r="AP226" s="283">
        <v>1265</v>
      </c>
      <c r="AQ226" s="283">
        <v>1750</v>
      </c>
      <c r="AR226" s="283">
        <v>1934</v>
      </c>
    </row>
    <row r="227" spans="1:44" s="283" customFormat="1" ht="31" customHeight="1" x14ac:dyDescent="0.25">
      <c r="A227" s="292" t="s">
        <v>342</v>
      </c>
      <c r="B227" s="292" t="s">
        <v>132</v>
      </c>
      <c r="AG227" s="283">
        <v>873</v>
      </c>
      <c r="AH227" s="283">
        <v>7261</v>
      </c>
      <c r="AI227" s="283">
        <v>6412</v>
      </c>
      <c r="AJ227" s="283">
        <v>5423</v>
      </c>
      <c r="AK227" s="283">
        <v>6186</v>
      </c>
      <c r="AL227" s="283">
        <v>5688</v>
      </c>
      <c r="AM227" s="283">
        <v>3599</v>
      </c>
      <c r="AN227" s="283">
        <v>5325</v>
      </c>
      <c r="AO227" s="283">
        <v>4724</v>
      </c>
      <c r="AP227" s="283">
        <v>3805</v>
      </c>
      <c r="AQ227" s="283">
        <v>4285</v>
      </c>
      <c r="AR227" s="283">
        <v>4958</v>
      </c>
    </row>
    <row r="228" spans="1:44" s="283" customFormat="1" ht="31" customHeight="1" x14ac:dyDescent="0.25">
      <c r="A228" s="292" t="s">
        <v>343</v>
      </c>
      <c r="B228" s="292" t="s">
        <v>132</v>
      </c>
      <c r="AG228" s="283">
        <v>1123</v>
      </c>
      <c r="AH228" s="283">
        <v>7559</v>
      </c>
      <c r="AI228" s="283">
        <v>7339</v>
      </c>
      <c r="AJ228" s="283">
        <v>6599</v>
      </c>
      <c r="AK228" s="283">
        <v>7597</v>
      </c>
      <c r="AL228" s="283">
        <v>8020</v>
      </c>
      <c r="AM228" s="283">
        <v>5384</v>
      </c>
      <c r="AN228" s="283">
        <v>6235</v>
      </c>
      <c r="AO228" s="283">
        <v>6559</v>
      </c>
      <c r="AP228" s="283">
        <v>5279</v>
      </c>
      <c r="AQ228" s="283">
        <v>6015</v>
      </c>
      <c r="AR228" s="283">
        <v>5563</v>
      </c>
    </row>
    <row r="229" spans="1:44" s="283" customFormat="1" ht="31" customHeight="1" x14ac:dyDescent="0.25">
      <c r="A229" s="292" t="s">
        <v>344</v>
      </c>
      <c r="B229" s="292" t="s">
        <v>132</v>
      </c>
      <c r="AG229" s="283">
        <v>771</v>
      </c>
      <c r="AH229" s="283">
        <v>6455</v>
      </c>
      <c r="AI229" s="283">
        <v>6400</v>
      </c>
      <c r="AJ229" s="283">
        <v>3513</v>
      </c>
      <c r="AK229" s="283">
        <v>5491</v>
      </c>
      <c r="AL229" s="283">
        <v>5755</v>
      </c>
      <c r="AM229" s="283">
        <v>4670</v>
      </c>
      <c r="AN229" s="283">
        <v>4809</v>
      </c>
      <c r="AO229" s="283">
        <v>5724</v>
      </c>
      <c r="AP229" s="283">
        <v>3871</v>
      </c>
      <c r="AQ229" s="283">
        <v>4345</v>
      </c>
      <c r="AR229" s="283">
        <v>4584</v>
      </c>
    </row>
    <row r="230" spans="1:44" s="283" customFormat="1" ht="31" customHeight="1" x14ac:dyDescent="0.25">
      <c r="A230" s="292" t="s">
        <v>345</v>
      </c>
      <c r="B230" s="292" t="s">
        <v>132</v>
      </c>
      <c r="AG230" s="283">
        <v>18198</v>
      </c>
      <c r="AH230" s="283">
        <v>135142</v>
      </c>
      <c r="AI230" s="283">
        <v>99398</v>
      </c>
      <c r="AJ230" s="283">
        <v>80614</v>
      </c>
      <c r="AK230" s="283">
        <v>102426</v>
      </c>
      <c r="AL230" s="283">
        <v>90235</v>
      </c>
      <c r="AM230" s="283">
        <v>58932</v>
      </c>
      <c r="AN230" s="283">
        <v>52913</v>
      </c>
      <c r="AO230" s="283">
        <v>61425</v>
      </c>
      <c r="AP230" s="283">
        <v>50330</v>
      </c>
      <c r="AQ230" s="283">
        <v>47566</v>
      </c>
      <c r="AR230" s="283">
        <v>55324</v>
      </c>
    </row>
    <row r="231" spans="1:44" s="283" customFormat="1" ht="31" customHeight="1" x14ac:dyDescent="0.25">
      <c r="A231" s="292" t="s">
        <v>346</v>
      </c>
      <c r="B231" s="292" t="s">
        <v>132</v>
      </c>
      <c r="AG231" s="283">
        <v>231</v>
      </c>
      <c r="AH231" s="283">
        <v>2147</v>
      </c>
      <c r="AI231" s="283">
        <v>1771</v>
      </c>
      <c r="AJ231" s="283">
        <v>1423</v>
      </c>
      <c r="AK231" s="283">
        <v>2350</v>
      </c>
      <c r="AL231" s="283">
        <v>1913</v>
      </c>
      <c r="AM231" s="283">
        <v>1288</v>
      </c>
      <c r="AN231" s="283">
        <v>1763</v>
      </c>
      <c r="AO231" s="283">
        <v>1512</v>
      </c>
      <c r="AP231" s="283">
        <v>1348</v>
      </c>
      <c r="AQ231" s="283">
        <v>1507</v>
      </c>
      <c r="AR231" s="283">
        <v>1590</v>
      </c>
    </row>
    <row r="232" spans="1:44" s="283" customFormat="1" ht="31" customHeight="1" x14ac:dyDescent="0.25">
      <c r="A232" s="292" t="s">
        <v>347</v>
      </c>
      <c r="B232" s="292" t="s">
        <v>132</v>
      </c>
      <c r="AG232" s="283">
        <v>489</v>
      </c>
      <c r="AH232" s="283">
        <v>4558</v>
      </c>
      <c r="AI232" s="283">
        <v>4547</v>
      </c>
      <c r="AJ232" s="283">
        <v>4642</v>
      </c>
      <c r="AK232" s="283">
        <v>4342</v>
      </c>
      <c r="AL232" s="283">
        <v>5490</v>
      </c>
      <c r="AM232" s="283">
        <v>3297</v>
      </c>
      <c r="AN232" s="283">
        <v>3804</v>
      </c>
      <c r="AO232" s="283">
        <v>2962</v>
      </c>
      <c r="AP232" s="283">
        <v>3387</v>
      </c>
      <c r="AQ232" s="283">
        <v>3398</v>
      </c>
      <c r="AR232" s="283">
        <v>3454</v>
      </c>
    </row>
    <row r="233" spans="1:44" s="283" customFormat="1" ht="31" customHeight="1" x14ac:dyDescent="0.25">
      <c r="A233" s="292" t="s">
        <v>348</v>
      </c>
      <c r="B233" s="292" t="s">
        <v>132</v>
      </c>
      <c r="AG233" s="283">
        <v>613</v>
      </c>
      <c r="AH233" s="283">
        <v>4833</v>
      </c>
      <c r="AI233" s="283">
        <v>5085</v>
      </c>
      <c r="AJ233" s="283">
        <v>3619</v>
      </c>
      <c r="AK233" s="283">
        <v>3862</v>
      </c>
      <c r="AL233" s="283">
        <v>6474</v>
      </c>
      <c r="AM233" s="283">
        <v>5245</v>
      </c>
      <c r="AN233" s="283">
        <v>3742</v>
      </c>
      <c r="AO233" s="283">
        <v>4002</v>
      </c>
      <c r="AP233" s="283">
        <v>3429</v>
      </c>
      <c r="AQ233" s="283">
        <v>3534</v>
      </c>
      <c r="AR233" s="283">
        <v>4381</v>
      </c>
    </row>
    <row r="234" spans="1:44" s="283" customFormat="1" ht="31" customHeight="1" x14ac:dyDescent="0.25">
      <c r="A234" s="292" t="s">
        <v>349</v>
      </c>
      <c r="B234" s="292" t="s">
        <v>132</v>
      </c>
      <c r="AG234" s="283">
        <v>63783</v>
      </c>
      <c r="AH234" s="283">
        <v>464957</v>
      </c>
      <c r="AI234" s="283">
        <v>558914</v>
      </c>
      <c r="AJ234" s="283">
        <v>311809</v>
      </c>
      <c r="AK234" s="283">
        <v>511248</v>
      </c>
      <c r="AL234" s="283">
        <v>422619</v>
      </c>
      <c r="AM234" s="283">
        <v>237797</v>
      </c>
      <c r="AN234" s="283">
        <v>301165</v>
      </c>
      <c r="AO234" s="283">
        <v>329733</v>
      </c>
      <c r="AP234" s="283">
        <v>266070</v>
      </c>
      <c r="AQ234" s="283">
        <v>261851</v>
      </c>
      <c r="AR234" s="283">
        <v>282314</v>
      </c>
    </row>
    <row r="235" spans="1:44" s="283" customFormat="1" ht="31" customHeight="1" x14ac:dyDescent="0.25">
      <c r="A235" s="292" t="s">
        <v>350</v>
      </c>
      <c r="B235" s="292" t="s">
        <v>132</v>
      </c>
      <c r="AG235" s="283">
        <v>92</v>
      </c>
      <c r="AH235" s="283">
        <v>1253</v>
      </c>
      <c r="AI235" s="283">
        <v>1003</v>
      </c>
      <c r="AJ235" s="283">
        <v>258</v>
      </c>
      <c r="AK235" s="283">
        <v>1148</v>
      </c>
      <c r="AL235" s="283">
        <v>994</v>
      </c>
      <c r="AM235" s="283">
        <v>1018</v>
      </c>
      <c r="AN235" s="283">
        <v>1330</v>
      </c>
      <c r="AO235" s="283">
        <v>1440</v>
      </c>
      <c r="AP235" s="283">
        <v>639</v>
      </c>
      <c r="AQ235" s="283">
        <v>1052</v>
      </c>
      <c r="AR235" s="283">
        <v>1257</v>
      </c>
    </row>
    <row r="236" spans="1:44" s="283" customFormat="1" ht="31" customHeight="1" x14ac:dyDescent="0.25">
      <c r="A236" s="292" t="s">
        <v>351</v>
      </c>
      <c r="B236" s="292" t="s">
        <v>132</v>
      </c>
      <c r="AG236" s="283">
        <v>1231</v>
      </c>
      <c r="AH236" s="283">
        <v>14048</v>
      </c>
      <c r="AI236" s="283">
        <v>12730</v>
      </c>
      <c r="AJ236" s="283">
        <v>6291</v>
      </c>
      <c r="AK236" s="283">
        <v>12401</v>
      </c>
      <c r="AL236" s="283">
        <v>10678</v>
      </c>
      <c r="AM236" s="283">
        <v>10783</v>
      </c>
      <c r="AN236" s="283">
        <v>15968</v>
      </c>
      <c r="AO236" s="283">
        <v>13467</v>
      </c>
      <c r="AP236" s="283">
        <v>9512</v>
      </c>
      <c r="AQ236" s="283">
        <v>19782</v>
      </c>
      <c r="AR236" s="283">
        <v>17470</v>
      </c>
    </row>
    <row r="237" spans="1:44" s="283" customFormat="1" ht="31" customHeight="1" x14ac:dyDescent="0.25">
      <c r="A237" s="292" t="s">
        <v>352</v>
      </c>
      <c r="B237" s="292" t="s">
        <v>132</v>
      </c>
      <c r="AG237" s="283">
        <v>2951</v>
      </c>
      <c r="AH237" s="283">
        <v>29669</v>
      </c>
      <c r="AI237" s="283">
        <v>31517</v>
      </c>
      <c r="AJ237" s="283">
        <v>17946</v>
      </c>
      <c r="AK237" s="283">
        <v>31626</v>
      </c>
      <c r="AL237" s="283">
        <v>25404</v>
      </c>
      <c r="AM237" s="283">
        <v>36965</v>
      </c>
      <c r="AN237" s="283">
        <v>60192</v>
      </c>
      <c r="AO237" s="283">
        <v>45090</v>
      </c>
      <c r="AP237" s="283">
        <v>38074</v>
      </c>
      <c r="AQ237" s="283">
        <v>48215</v>
      </c>
      <c r="AR237" s="283">
        <v>49947</v>
      </c>
    </row>
    <row r="238" spans="1:44" s="283" customFormat="1" ht="31" customHeight="1" x14ac:dyDescent="0.25">
      <c r="A238" s="292" t="s">
        <v>353</v>
      </c>
      <c r="B238" s="292" t="s">
        <v>132</v>
      </c>
      <c r="AG238" s="283">
        <v>23608</v>
      </c>
      <c r="AH238" s="283">
        <v>183891</v>
      </c>
      <c r="AI238" s="283">
        <v>217697</v>
      </c>
      <c r="AJ238" s="283">
        <v>114387</v>
      </c>
      <c r="AK238" s="283">
        <v>268253</v>
      </c>
      <c r="AL238" s="283">
        <v>192317</v>
      </c>
      <c r="AM238" s="283">
        <v>436954</v>
      </c>
      <c r="AN238" s="283">
        <v>656392</v>
      </c>
      <c r="AO238" s="283">
        <v>688186</v>
      </c>
      <c r="AP238" s="283">
        <v>578294</v>
      </c>
      <c r="AQ238" s="283">
        <v>492592</v>
      </c>
      <c r="AR238" s="283">
        <v>640650</v>
      </c>
    </row>
    <row r="239" spans="1:44" s="283" customFormat="1" ht="31" customHeight="1" x14ac:dyDescent="0.25">
      <c r="A239" s="292" t="s">
        <v>354</v>
      </c>
      <c r="B239" s="292" t="s">
        <v>132</v>
      </c>
      <c r="AG239" s="283">
        <v>64955</v>
      </c>
      <c r="AH239" s="283">
        <v>375937</v>
      </c>
      <c r="AI239" s="283">
        <v>430939</v>
      </c>
      <c r="AJ239" s="283">
        <v>217682</v>
      </c>
      <c r="AK239" s="283">
        <v>412848</v>
      </c>
      <c r="AL239" s="283">
        <v>338466</v>
      </c>
      <c r="AM239" s="283">
        <v>351754</v>
      </c>
      <c r="AN239" s="283">
        <v>502847</v>
      </c>
      <c r="AO239" s="283">
        <v>629295</v>
      </c>
      <c r="AP239" s="283">
        <v>502802</v>
      </c>
      <c r="AQ239" s="283">
        <v>398194</v>
      </c>
      <c r="AR239" s="283">
        <v>371948</v>
      </c>
    </row>
    <row r="240" spans="1:44" s="283" customFormat="1" ht="31" customHeight="1" x14ac:dyDescent="0.25">
      <c r="A240" s="292" t="s">
        <v>355</v>
      </c>
      <c r="B240" s="292" t="s">
        <v>132</v>
      </c>
      <c r="AG240" s="283">
        <v>1922</v>
      </c>
      <c r="AH240" s="283">
        <v>7987</v>
      </c>
      <c r="AI240" s="283">
        <v>9367</v>
      </c>
      <c r="AJ240" s="283">
        <v>6206</v>
      </c>
      <c r="AK240" s="283">
        <v>9086</v>
      </c>
      <c r="AL240" s="283">
        <v>8131</v>
      </c>
      <c r="AM240" s="283">
        <v>10563</v>
      </c>
      <c r="AN240" s="283">
        <v>12543</v>
      </c>
      <c r="AO240" s="283">
        <v>12018</v>
      </c>
      <c r="AP240" s="283">
        <v>10140</v>
      </c>
      <c r="AQ240" s="283">
        <v>8980</v>
      </c>
      <c r="AR240" s="283">
        <v>14211</v>
      </c>
    </row>
    <row r="241" spans="1:44" s="283" customFormat="1" ht="31" customHeight="1" x14ac:dyDescent="0.25">
      <c r="A241" s="292" t="s">
        <v>356</v>
      </c>
      <c r="B241" s="292" t="s">
        <v>132</v>
      </c>
      <c r="AG241" s="283">
        <v>42424</v>
      </c>
      <c r="AH241" s="283">
        <v>151280</v>
      </c>
      <c r="AI241" s="283">
        <v>0</v>
      </c>
      <c r="AJ241" s="283">
        <v>14588</v>
      </c>
      <c r="AK241" s="283">
        <v>7688</v>
      </c>
      <c r="AL241" s="283">
        <v>0</v>
      </c>
      <c r="AM241" s="283">
        <v>0</v>
      </c>
      <c r="AN241" s="283">
        <v>13217</v>
      </c>
      <c r="AO241" s="283">
        <v>4534</v>
      </c>
      <c r="AP241" s="283">
        <v>85400</v>
      </c>
      <c r="AQ241" s="283">
        <v>120</v>
      </c>
      <c r="AR241" s="283">
        <v>7980</v>
      </c>
    </row>
    <row r="242" spans="1:44" s="283" customFormat="1" ht="31" customHeight="1" x14ac:dyDescent="0.25">
      <c r="A242" s="292" t="s">
        <v>357</v>
      </c>
      <c r="B242" s="292" t="s">
        <v>132</v>
      </c>
      <c r="AG242" s="283">
        <v>1006</v>
      </c>
      <c r="AH242" s="283">
        <v>13534</v>
      </c>
      <c r="AI242" s="283">
        <v>10709</v>
      </c>
      <c r="AJ242" s="283">
        <v>9633</v>
      </c>
      <c r="AK242" s="283">
        <v>15045</v>
      </c>
      <c r="AL242" s="283">
        <v>11138</v>
      </c>
      <c r="AM242" s="283">
        <v>15415</v>
      </c>
      <c r="AN242" s="283">
        <v>21790</v>
      </c>
      <c r="AO242" s="283">
        <v>21052</v>
      </c>
      <c r="AP242" s="283">
        <v>17513</v>
      </c>
      <c r="AQ242" s="283">
        <v>17443</v>
      </c>
      <c r="AR242" s="283">
        <v>24132</v>
      </c>
    </row>
    <row r="243" spans="1:44" s="283" customFormat="1" ht="31" customHeight="1" x14ac:dyDescent="0.25">
      <c r="A243" s="292" t="s">
        <v>358</v>
      </c>
      <c r="B243" s="292" t="s">
        <v>132</v>
      </c>
      <c r="AG243" s="283">
        <v>31</v>
      </c>
      <c r="AH243" s="283">
        <v>370</v>
      </c>
      <c r="AI243" s="283">
        <v>244</v>
      </c>
      <c r="AJ243" s="283">
        <v>142</v>
      </c>
      <c r="AK243" s="283">
        <v>86</v>
      </c>
      <c r="AL243" s="283">
        <v>243</v>
      </c>
      <c r="AM243" s="283">
        <v>56</v>
      </c>
      <c r="AN243" s="283">
        <v>47</v>
      </c>
      <c r="AO243" s="283">
        <v>48</v>
      </c>
      <c r="AP243" s="283">
        <v>44</v>
      </c>
      <c r="AQ243" s="283">
        <v>64</v>
      </c>
      <c r="AR243" s="283">
        <v>96</v>
      </c>
    </row>
    <row r="244" spans="1:44" s="283" customFormat="1" ht="31" customHeight="1" x14ac:dyDescent="0.25">
      <c r="A244" s="292" t="s">
        <v>359</v>
      </c>
      <c r="B244" s="292" t="s">
        <v>132</v>
      </c>
      <c r="AG244" s="283">
        <v>55</v>
      </c>
      <c r="AH244" s="283">
        <v>703</v>
      </c>
      <c r="AI244" s="283">
        <v>458</v>
      </c>
      <c r="AJ244" s="283">
        <v>367</v>
      </c>
      <c r="AK244" s="283">
        <v>332</v>
      </c>
      <c r="AL244" s="283">
        <v>445</v>
      </c>
      <c r="AM244" s="283">
        <v>108</v>
      </c>
      <c r="AN244" s="283">
        <v>154</v>
      </c>
      <c r="AO244" s="283">
        <v>163</v>
      </c>
      <c r="AP244" s="283">
        <v>120</v>
      </c>
      <c r="AQ244" s="283">
        <v>183</v>
      </c>
      <c r="AR244" s="283">
        <v>204</v>
      </c>
    </row>
    <row r="245" spans="1:44" s="283" customFormat="1" ht="31" customHeight="1" x14ac:dyDescent="0.25">
      <c r="A245" s="292" t="s">
        <v>360</v>
      </c>
      <c r="B245" s="292" t="s">
        <v>132</v>
      </c>
      <c r="AG245" s="283">
        <v>87</v>
      </c>
      <c r="AH245" s="283">
        <v>678</v>
      </c>
      <c r="AI245" s="283">
        <v>540</v>
      </c>
      <c r="AJ245" s="283">
        <v>564</v>
      </c>
      <c r="AK245" s="283">
        <v>527</v>
      </c>
      <c r="AL245" s="283">
        <v>629</v>
      </c>
      <c r="AM245" s="283">
        <v>286</v>
      </c>
      <c r="AN245" s="283">
        <v>348</v>
      </c>
      <c r="AO245" s="283">
        <v>354</v>
      </c>
      <c r="AP245" s="283">
        <v>238</v>
      </c>
      <c r="AQ245" s="283">
        <v>299</v>
      </c>
      <c r="AR245" s="283">
        <v>374</v>
      </c>
    </row>
    <row r="246" spans="1:44" s="283" customFormat="1" ht="31" customHeight="1" x14ac:dyDescent="0.25">
      <c r="A246" s="292" t="s">
        <v>361</v>
      </c>
      <c r="B246" s="292" t="s">
        <v>132</v>
      </c>
      <c r="AG246" s="283">
        <v>26</v>
      </c>
      <c r="AH246" s="283">
        <v>374</v>
      </c>
      <c r="AI246" s="283">
        <v>305</v>
      </c>
      <c r="AJ246" s="283">
        <v>220</v>
      </c>
      <c r="AK246" s="283">
        <v>333</v>
      </c>
      <c r="AL246" s="283">
        <v>299</v>
      </c>
      <c r="AM246" s="283">
        <v>254</v>
      </c>
      <c r="AN246" s="283">
        <v>275</v>
      </c>
      <c r="AO246" s="283">
        <v>310</v>
      </c>
      <c r="AP246" s="283">
        <v>203</v>
      </c>
      <c r="AQ246" s="283">
        <v>258</v>
      </c>
      <c r="AR246" s="283">
        <v>331</v>
      </c>
    </row>
    <row r="247" spans="1:44" s="283" customFormat="1" ht="31" customHeight="1" x14ac:dyDescent="0.25">
      <c r="A247" s="292" t="s">
        <v>362</v>
      </c>
      <c r="B247" s="292" t="s">
        <v>132</v>
      </c>
      <c r="AG247" s="283">
        <v>109</v>
      </c>
      <c r="AH247" s="283">
        <v>1656</v>
      </c>
      <c r="AI247" s="283">
        <v>925</v>
      </c>
      <c r="AJ247" s="283">
        <v>1086</v>
      </c>
      <c r="AK247" s="283">
        <v>1790</v>
      </c>
      <c r="AL247" s="283">
        <v>1130</v>
      </c>
      <c r="AM247" s="283">
        <v>1507</v>
      </c>
      <c r="AN247" s="283">
        <v>1624</v>
      </c>
      <c r="AO247" s="283">
        <v>1579</v>
      </c>
      <c r="AP247" s="283">
        <v>1195</v>
      </c>
      <c r="AQ247" s="283">
        <v>1651</v>
      </c>
      <c r="AR247" s="283">
        <v>2217</v>
      </c>
    </row>
    <row r="248" spans="1:44" s="283" customFormat="1" ht="31" customHeight="1" x14ac:dyDescent="0.25">
      <c r="A248" s="292" t="s">
        <v>363</v>
      </c>
      <c r="B248" s="292" t="s">
        <v>132</v>
      </c>
      <c r="AG248" s="283">
        <v>8</v>
      </c>
      <c r="AH248" s="283">
        <v>67</v>
      </c>
      <c r="AI248" s="283">
        <v>41</v>
      </c>
      <c r="AJ248" s="283">
        <v>31</v>
      </c>
      <c r="AK248" s="283">
        <v>59</v>
      </c>
      <c r="AL248" s="283">
        <v>41</v>
      </c>
      <c r="AM248" s="283">
        <v>11</v>
      </c>
      <c r="AN248" s="283">
        <v>20</v>
      </c>
      <c r="AO248" s="283">
        <v>11</v>
      </c>
      <c r="AP248" s="283">
        <v>8</v>
      </c>
      <c r="AQ248" s="283">
        <v>16</v>
      </c>
      <c r="AR248" s="283">
        <v>21</v>
      </c>
    </row>
    <row r="249" spans="1:44" s="283" customFormat="1" ht="31" customHeight="1" x14ac:dyDescent="0.25">
      <c r="A249" s="292" t="s">
        <v>364</v>
      </c>
      <c r="B249" s="292" t="s">
        <v>132</v>
      </c>
      <c r="AG249" s="283">
        <v>24</v>
      </c>
      <c r="AH249" s="283">
        <v>280</v>
      </c>
      <c r="AI249" s="283">
        <v>234</v>
      </c>
      <c r="AJ249" s="283">
        <v>248</v>
      </c>
      <c r="AK249" s="283">
        <v>224</v>
      </c>
      <c r="AL249" s="283">
        <v>254</v>
      </c>
      <c r="AM249" s="283">
        <v>102</v>
      </c>
      <c r="AN249" s="283">
        <v>138</v>
      </c>
      <c r="AO249" s="283">
        <v>101</v>
      </c>
      <c r="AP249" s="283">
        <v>91</v>
      </c>
      <c r="AQ249" s="283">
        <v>112</v>
      </c>
      <c r="AR249" s="283">
        <v>146</v>
      </c>
    </row>
    <row r="250" spans="1:44" s="283" customFormat="1" ht="31" customHeight="1" x14ac:dyDescent="0.25">
      <c r="A250" s="292" t="s">
        <v>365</v>
      </c>
      <c r="B250" s="292" t="s">
        <v>132</v>
      </c>
      <c r="AG250" s="283">
        <v>19</v>
      </c>
      <c r="AH250" s="283">
        <v>232</v>
      </c>
      <c r="AI250" s="283">
        <v>203</v>
      </c>
      <c r="AJ250" s="283">
        <v>202</v>
      </c>
      <c r="AK250" s="283">
        <v>186</v>
      </c>
      <c r="AL250" s="283">
        <v>254</v>
      </c>
      <c r="AM250" s="283">
        <v>162</v>
      </c>
      <c r="AN250" s="283">
        <v>138</v>
      </c>
      <c r="AO250" s="283">
        <v>135</v>
      </c>
      <c r="AP250" s="283">
        <v>110</v>
      </c>
      <c r="AQ250" s="283">
        <v>135</v>
      </c>
      <c r="AR250" s="283">
        <v>181</v>
      </c>
    </row>
    <row r="251" spans="1:44" s="283" customFormat="1" ht="31" customHeight="1" x14ac:dyDescent="0.25">
      <c r="A251" s="292" t="s">
        <v>366</v>
      </c>
      <c r="B251" s="292" t="s">
        <v>132</v>
      </c>
      <c r="AG251" s="283">
        <v>265</v>
      </c>
      <c r="AH251" s="283">
        <v>3715</v>
      </c>
      <c r="AI251" s="283">
        <v>2805</v>
      </c>
      <c r="AJ251" s="283">
        <v>2438</v>
      </c>
      <c r="AK251" s="283">
        <v>4818</v>
      </c>
      <c r="AL251" s="283">
        <v>3038</v>
      </c>
      <c r="AM251" s="283">
        <v>4009</v>
      </c>
      <c r="AN251" s="283">
        <v>4880</v>
      </c>
      <c r="AO251" s="283">
        <v>4915</v>
      </c>
      <c r="AP251" s="283">
        <v>3518</v>
      </c>
      <c r="AQ251" s="283">
        <v>4027</v>
      </c>
      <c r="AR251" s="283">
        <v>5408</v>
      </c>
    </row>
    <row r="252" spans="1:44" s="283" customFormat="1" ht="31" customHeight="1" x14ac:dyDescent="0.25">
      <c r="A252" s="292" t="s">
        <v>367</v>
      </c>
      <c r="B252" s="292" t="s">
        <v>132</v>
      </c>
      <c r="AG252" s="283">
        <v>1</v>
      </c>
      <c r="AH252" s="283">
        <v>23</v>
      </c>
      <c r="AI252" s="283">
        <v>7</v>
      </c>
      <c r="AJ252" s="283">
        <v>0</v>
      </c>
      <c r="AK252" s="283">
        <v>15</v>
      </c>
      <c r="AL252" s="283">
        <v>7</v>
      </c>
      <c r="AM252" s="283">
        <v>3</v>
      </c>
      <c r="AN252" s="283">
        <v>5</v>
      </c>
      <c r="AO252" s="283">
        <v>8</v>
      </c>
      <c r="AP252" s="283">
        <v>1</v>
      </c>
      <c r="AQ252" s="283">
        <v>4</v>
      </c>
      <c r="AR252" s="283">
        <v>9</v>
      </c>
    </row>
    <row r="253" spans="1:44" s="283" customFormat="1" ht="31" customHeight="1" x14ac:dyDescent="0.25">
      <c r="A253" s="292" t="s">
        <v>368</v>
      </c>
      <c r="B253" s="292" t="s">
        <v>132</v>
      </c>
      <c r="AG253" s="283">
        <v>29</v>
      </c>
      <c r="AH253" s="283">
        <v>459</v>
      </c>
      <c r="AI253" s="283">
        <v>304</v>
      </c>
      <c r="AJ253" s="283">
        <v>239</v>
      </c>
      <c r="AK253" s="283">
        <v>298</v>
      </c>
      <c r="AL253" s="283">
        <v>256</v>
      </c>
      <c r="AM253" s="283">
        <v>166</v>
      </c>
      <c r="AN253" s="283">
        <v>320</v>
      </c>
      <c r="AO253" s="283">
        <v>228</v>
      </c>
      <c r="AP253" s="283">
        <v>144</v>
      </c>
      <c r="AQ253" s="283">
        <v>312</v>
      </c>
      <c r="AR253" s="283">
        <v>378</v>
      </c>
    </row>
    <row r="254" spans="1:44" s="283" customFormat="1" ht="31" customHeight="1" x14ac:dyDescent="0.25">
      <c r="A254" s="292" t="s">
        <v>369</v>
      </c>
      <c r="B254" s="292" t="s">
        <v>132</v>
      </c>
      <c r="AG254" s="283">
        <v>94</v>
      </c>
      <c r="AH254" s="283">
        <v>1157</v>
      </c>
      <c r="AI254" s="283">
        <v>1025</v>
      </c>
      <c r="AJ254" s="283">
        <v>1130</v>
      </c>
      <c r="AK254" s="283">
        <v>1127</v>
      </c>
      <c r="AL254" s="283">
        <v>871</v>
      </c>
      <c r="AM254" s="283">
        <v>856</v>
      </c>
      <c r="AN254" s="283">
        <v>1528</v>
      </c>
      <c r="AO254" s="283">
        <v>1096</v>
      </c>
      <c r="AP254" s="283">
        <v>900</v>
      </c>
      <c r="AQ254" s="283">
        <v>1254</v>
      </c>
      <c r="AR254" s="283">
        <v>1409</v>
      </c>
    </row>
    <row r="255" spans="1:44" s="283" customFormat="1" ht="31" customHeight="1" x14ac:dyDescent="0.25">
      <c r="A255" s="292" t="s">
        <v>370</v>
      </c>
      <c r="B255" s="292" t="s">
        <v>132</v>
      </c>
      <c r="AG255" s="283">
        <v>242</v>
      </c>
      <c r="AH255" s="283">
        <v>3743</v>
      </c>
      <c r="AI255" s="283">
        <v>3535</v>
      </c>
      <c r="AJ255" s="283">
        <v>2893</v>
      </c>
      <c r="AK255" s="283">
        <v>5178</v>
      </c>
      <c r="AL255" s="283">
        <v>3599</v>
      </c>
      <c r="AM255" s="283">
        <v>7814</v>
      </c>
      <c r="AN255" s="283">
        <v>12209</v>
      </c>
      <c r="AO255" s="283">
        <v>11996</v>
      </c>
      <c r="AP255" s="283">
        <v>10867</v>
      </c>
      <c r="AQ255" s="283">
        <v>9045</v>
      </c>
      <c r="AR255" s="283">
        <v>13270</v>
      </c>
    </row>
    <row r="256" spans="1:44" s="283" customFormat="1" ht="31" customHeight="1" x14ac:dyDescent="0.25">
      <c r="A256" s="292" t="s">
        <v>371</v>
      </c>
      <c r="B256" s="292" t="s">
        <v>132</v>
      </c>
      <c r="AG256" s="283">
        <v>370</v>
      </c>
      <c r="AH256" s="283">
        <v>3423</v>
      </c>
      <c r="AI256" s="283">
        <v>2078</v>
      </c>
      <c r="AJ256" s="283">
        <v>1943</v>
      </c>
      <c r="AK256" s="283">
        <v>4145</v>
      </c>
      <c r="AL256" s="283">
        <v>2904</v>
      </c>
      <c r="AM256" s="283">
        <v>4997</v>
      </c>
      <c r="AN256" s="283">
        <v>7660</v>
      </c>
      <c r="AO256" s="283">
        <v>9642</v>
      </c>
      <c r="AP256" s="283">
        <v>7654</v>
      </c>
      <c r="AQ256" s="283">
        <v>5657</v>
      </c>
      <c r="AR256" s="283">
        <v>6516</v>
      </c>
    </row>
    <row r="257" spans="1:44" s="283" customFormat="1" ht="31" customHeight="1" x14ac:dyDescent="0.25">
      <c r="A257" s="292" t="s">
        <v>372</v>
      </c>
      <c r="B257" s="292" t="s">
        <v>132</v>
      </c>
      <c r="AG257" s="283">
        <v>67</v>
      </c>
      <c r="AH257" s="283">
        <v>330</v>
      </c>
      <c r="AI257" s="283">
        <v>365</v>
      </c>
      <c r="AJ257" s="283">
        <v>226</v>
      </c>
      <c r="AK257" s="283">
        <v>411</v>
      </c>
      <c r="AL257" s="283">
        <v>404</v>
      </c>
      <c r="AM257" s="283">
        <v>407</v>
      </c>
      <c r="AN257" s="283">
        <v>479</v>
      </c>
      <c r="AO257" s="283">
        <v>426</v>
      </c>
      <c r="AP257" s="283">
        <v>381</v>
      </c>
      <c r="AQ257" s="283">
        <v>333</v>
      </c>
      <c r="AR257" s="283">
        <v>601</v>
      </c>
    </row>
    <row r="258" spans="1:44" s="283" customFormat="1" ht="31" customHeight="1" x14ac:dyDescent="0.25">
      <c r="A258" s="292" t="s">
        <v>373</v>
      </c>
      <c r="B258" s="292" t="s">
        <v>132</v>
      </c>
      <c r="AG258" s="283">
        <v>1140</v>
      </c>
      <c r="AH258" s="283">
        <v>3728</v>
      </c>
      <c r="AI258" s="283">
        <v>0</v>
      </c>
      <c r="AJ258" s="283">
        <v>159</v>
      </c>
      <c r="AK258" s="283">
        <v>123</v>
      </c>
      <c r="AL258" s="283">
        <v>0</v>
      </c>
      <c r="AM258" s="283">
        <v>0</v>
      </c>
      <c r="AN258" s="283">
        <v>209</v>
      </c>
      <c r="AO258" s="283">
        <v>145</v>
      </c>
      <c r="AP258" s="283">
        <v>1148</v>
      </c>
      <c r="AQ258" s="283">
        <v>0</v>
      </c>
      <c r="AR258" s="283">
        <v>182</v>
      </c>
    </row>
    <row r="259" spans="1:44" s="283" customFormat="1" ht="31" customHeight="1" x14ac:dyDescent="0.25">
      <c r="A259" s="292" t="s">
        <v>374</v>
      </c>
      <c r="B259" s="292" t="s">
        <v>167</v>
      </c>
      <c r="AG259" s="283">
        <v>15830</v>
      </c>
      <c r="AH259" s="283">
        <v>111946</v>
      </c>
      <c r="AI259" s="283">
        <v>135286</v>
      </c>
      <c r="AJ259" s="283">
        <v>89526</v>
      </c>
      <c r="AK259" s="283">
        <v>136941</v>
      </c>
      <c r="AL259" s="283">
        <v>111724</v>
      </c>
      <c r="AM259" s="283">
        <v>137592</v>
      </c>
      <c r="AN259" s="283">
        <v>185850</v>
      </c>
      <c r="AO259" s="283">
        <v>184930</v>
      </c>
      <c r="AP259" s="283">
        <v>152167</v>
      </c>
      <c r="AQ259" s="283">
        <v>151371</v>
      </c>
      <c r="AR259" s="283">
        <v>173373</v>
      </c>
    </row>
    <row r="260" spans="1:44" s="283" customFormat="1" ht="31" customHeight="1" x14ac:dyDescent="0.25">
      <c r="A260" s="292" t="s">
        <v>375</v>
      </c>
      <c r="B260" s="292" t="s">
        <v>167</v>
      </c>
      <c r="AG260" s="283">
        <v>46</v>
      </c>
      <c r="AH260" s="283">
        <v>490</v>
      </c>
      <c r="AI260" s="283">
        <v>479</v>
      </c>
      <c r="AJ260" s="283">
        <v>387</v>
      </c>
      <c r="AK260" s="283">
        <v>478</v>
      </c>
      <c r="AL260" s="283">
        <v>450</v>
      </c>
      <c r="AM260" s="283">
        <v>480</v>
      </c>
      <c r="AN260" s="283">
        <v>564</v>
      </c>
      <c r="AO260" s="283">
        <v>521</v>
      </c>
      <c r="AP260" s="283">
        <v>335</v>
      </c>
      <c r="AQ260" s="283">
        <v>636</v>
      </c>
      <c r="AR260" s="283">
        <v>514</v>
      </c>
    </row>
    <row r="261" spans="1:44" s="283" customFormat="1" ht="31" customHeight="1" x14ac:dyDescent="0.25">
      <c r="A261" s="292" t="s">
        <v>376</v>
      </c>
      <c r="B261" s="292" t="s">
        <v>167</v>
      </c>
      <c r="AG261" s="283">
        <v>111</v>
      </c>
      <c r="AH261" s="283">
        <v>909</v>
      </c>
      <c r="AI261" s="283">
        <v>962</v>
      </c>
      <c r="AJ261" s="283">
        <v>842</v>
      </c>
      <c r="AK261" s="283">
        <v>915</v>
      </c>
      <c r="AL261" s="283">
        <v>857</v>
      </c>
      <c r="AM261" s="283">
        <v>732</v>
      </c>
      <c r="AN261" s="283">
        <v>913</v>
      </c>
      <c r="AO261" s="283">
        <v>794</v>
      </c>
      <c r="AP261" s="283">
        <v>662</v>
      </c>
      <c r="AQ261" s="283">
        <v>783</v>
      </c>
      <c r="AR261" s="283">
        <v>795</v>
      </c>
    </row>
    <row r="262" spans="1:44" s="283" customFormat="1" ht="31" customHeight="1" x14ac:dyDescent="0.25">
      <c r="A262" s="292" t="s">
        <v>377</v>
      </c>
      <c r="B262" s="292" t="s">
        <v>167</v>
      </c>
      <c r="AG262" s="283">
        <v>117</v>
      </c>
      <c r="AH262" s="283">
        <v>598</v>
      </c>
      <c r="AI262" s="283">
        <v>702</v>
      </c>
      <c r="AJ262" s="283">
        <v>824</v>
      </c>
      <c r="AK262" s="283">
        <v>698</v>
      </c>
      <c r="AL262" s="283">
        <v>867</v>
      </c>
      <c r="AM262" s="283">
        <v>825</v>
      </c>
      <c r="AN262" s="283">
        <v>776</v>
      </c>
      <c r="AO262" s="283">
        <v>756</v>
      </c>
      <c r="AP262" s="283">
        <v>662</v>
      </c>
      <c r="AQ262" s="283">
        <v>708</v>
      </c>
      <c r="AR262" s="283">
        <v>634</v>
      </c>
    </row>
    <row r="263" spans="1:44" s="283" customFormat="1" ht="31" customHeight="1" x14ac:dyDescent="0.25">
      <c r="A263" s="292" t="s">
        <v>378</v>
      </c>
      <c r="B263" s="292" t="s">
        <v>167</v>
      </c>
      <c r="AG263" s="283">
        <v>71</v>
      </c>
      <c r="AH263" s="283">
        <v>500</v>
      </c>
      <c r="AI263" s="283">
        <v>551</v>
      </c>
      <c r="AJ263" s="283">
        <v>397</v>
      </c>
      <c r="AK263" s="283">
        <v>386</v>
      </c>
      <c r="AL263" s="283">
        <v>589</v>
      </c>
      <c r="AM263" s="283">
        <v>687</v>
      </c>
      <c r="AN263" s="283">
        <v>461</v>
      </c>
      <c r="AO263" s="283">
        <v>520</v>
      </c>
      <c r="AP263" s="283">
        <v>381</v>
      </c>
      <c r="AQ263" s="283">
        <v>400</v>
      </c>
      <c r="AR263" s="283">
        <v>487</v>
      </c>
    </row>
    <row r="264" spans="1:44" s="283" customFormat="1" ht="31" customHeight="1" x14ac:dyDescent="0.25">
      <c r="A264" s="292" t="s">
        <v>379</v>
      </c>
      <c r="B264" s="292" t="s">
        <v>167</v>
      </c>
      <c r="AG264" s="283">
        <v>2338</v>
      </c>
      <c r="AH264" s="283">
        <v>15310</v>
      </c>
      <c r="AI264" s="283">
        <v>13175</v>
      </c>
      <c r="AJ264" s="283">
        <v>12750</v>
      </c>
      <c r="AK264" s="283">
        <v>12600</v>
      </c>
      <c r="AL264" s="283">
        <v>12059</v>
      </c>
      <c r="AM264" s="283">
        <v>9254</v>
      </c>
      <c r="AN264" s="283">
        <v>7456</v>
      </c>
      <c r="AO264" s="283">
        <v>7730</v>
      </c>
      <c r="AP264" s="283">
        <v>6060</v>
      </c>
      <c r="AQ264" s="283">
        <v>6735</v>
      </c>
      <c r="AR264" s="283">
        <v>8274</v>
      </c>
    </row>
    <row r="265" spans="1:44" s="283" customFormat="1" ht="31" customHeight="1" x14ac:dyDescent="0.25">
      <c r="A265" s="292" t="s">
        <v>380</v>
      </c>
      <c r="B265" s="292" t="s">
        <v>167</v>
      </c>
      <c r="AG265" s="283">
        <v>42</v>
      </c>
      <c r="AH265" s="283">
        <v>363</v>
      </c>
      <c r="AI265" s="283">
        <v>366</v>
      </c>
      <c r="AJ265" s="283">
        <v>277</v>
      </c>
      <c r="AK265" s="283">
        <v>478</v>
      </c>
      <c r="AL265" s="283">
        <v>363</v>
      </c>
      <c r="AM265" s="283">
        <v>311</v>
      </c>
      <c r="AN265" s="283">
        <v>395</v>
      </c>
      <c r="AO265" s="283">
        <v>322</v>
      </c>
      <c r="AP265" s="283">
        <v>298</v>
      </c>
      <c r="AQ265" s="283">
        <v>371</v>
      </c>
      <c r="AR265" s="283">
        <v>348</v>
      </c>
    </row>
    <row r="266" spans="1:44" s="283" customFormat="1" ht="31" customHeight="1" x14ac:dyDescent="0.25">
      <c r="A266" s="292" t="s">
        <v>381</v>
      </c>
      <c r="B266" s="292" t="s">
        <v>167</v>
      </c>
      <c r="AG266" s="283">
        <v>85</v>
      </c>
      <c r="AH266" s="283">
        <v>741</v>
      </c>
      <c r="AI266" s="283">
        <v>875</v>
      </c>
      <c r="AJ266" s="283">
        <v>893</v>
      </c>
      <c r="AK266" s="283">
        <v>859</v>
      </c>
      <c r="AL266" s="283">
        <v>993</v>
      </c>
      <c r="AM266" s="283">
        <v>805</v>
      </c>
      <c r="AN266" s="283">
        <v>884</v>
      </c>
      <c r="AO266" s="283">
        <v>682</v>
      </c>
      <c r="AP266" s="283">
        <v>747</v>
      </c>
      <c r="AQ266" s="283">
        <v>842</v>
      </c>
      <c r="AR266" s="283">
        <v>807</v>
      </c>
    </row>
    <row r="267" spans="1:44" s="283" customFormat="1" ht="31" customHeight="1" x14ac:dyDescent="0.25">
      <c r="A267" s="292" t="s">
        <v>382</v>
      </c>
      <c r="B267" s="292" t="s">
        <v>167</v>
      </c>
      <c r="AG267" s="283">
        <v>102</v>
      </c>
      <c r="AH267" s="283">
        <v>762</v>
      </c>
      <c r="AI267" s="283">
        <v>925</v>
      </c>
      <c r="AJ267" s="283">
        <v>711</v>
      </c>
      <c r="AK267" s="283">
        <v>743</v>
      </c>
      <c r="AL267" s="283">
        <v>1130</v>
      </c>
      <c r="AM267" s="283">
        <v>1174</v>
      </c>
      <c r="AN267" s="283">
        <v>830</v>
      </c>
      <c r="AO267" s="283">
        <v>852</v>
      </c>
      <c r="AP267" s="283">
        <v>706</v>
      </c>
      <c r="AQ267" s="283">
        <v>808</v>
      </c>
      <c r="AR267" s="283">
        <v>922</v>
      </c>
    </row>
    <row r="268" spans="1:44" s="283" customFormat="1" ht="31" customHeight="1" x14ac:dyDescent="0.25">
      <c r="A268" s="292" t="s">
        <v>383</v>
      </c>
      <c r="B268" s="292" t="s">
        <v>167</v>
      </c>
      <c r="AG268" s="283">
        <v>8936</v>
      </c>
      <c r="AH268" s="283">
        <v>60216</v>
      </c>
      <c r="AI268" s="283">
        <v>78647</v>
      </c>
      <c r="AJ268" s="283">
        <v>49206</v>
      </c>
      <c r="AK268" s="283">
        <v>72301</v>
      </c>
      <c r="AL268" s="283">
        <v>60164</v>
      </c>
      <c r="AM268" s="283">
        <v>43597</v>
      </c>
      <c r="AN268" s="283">
        <v>54511</v>
      </c>
      <c r="AO268" s="283">
        <v>55637</v>
      </c>
      <c r="AP268" s="283">
        <v>44700</v>
      </c>
      <c r="AQ268" s="283">
        <v>47091</v>
      </c>
      <c r="AR268" s="283">
        <v>49846</v>
      </c>
    </row>
    <row r="269" spans="1:44" s="283" customFormat="1" ht="31" customHeight="1" x14ac:dyDescent="0.25">
      <c r="A269" s="292" t="s">
        <v>384</v>
      </c>
      <c r="B269" s="292" t="s">
        <v>167</v>
      </c>
      <c r="AG269" s="283">
        <v>17</v>
      </c>
      <c r="AH269" s="283">
        <v>225</v>
      </c>
      <c r="AI269" s="283">
        <v>208</v>
      </c>
      <c r="AJ269" s="283">
        <v>56</v>
      </c>
      <c r="AK269" s="283">
        <v>245</v>
      </c>
      <c r="AL269" s="283">
        <v>191</v>
      </c>
      <c r="AM269" s="283">
        <v>209</v>
      </c>
      <c r="AN269" s="283">
        <v>263</v>
      </c>
      <c r="AO269" s="283">
        <v>279</v>
      </c>
      <c r="AP269" s="283">
        <v>124</v>
      </c>
      <c r="AQ269" s="283">
        <v>221</v>
      </c>
      <c r="AR269" s="283">
        <v>253</v>
      </c>
    </row>
    <row r="270" spans="1:44" s="283" customFormat="1" ht="31" customHeight="1" x14ac:dyDescent="0.25">
      <c r="A270" s="292" t="s">
        <v>385</v>
      </c>
      <c r="B270" s="292" t="s">
        <v>167</v>
      </c>
      <c r="AG270" s="283">
        <v>195</v>
      </c>
      <c r="AH270" s="283">
        <v>2151</v>
      </c>
      <c r="AI270" s="283">
        <v>2242</v>
      </c>
      <c r="AJ270" s="283">
        <v>1170</v>
      </c>
      <c r="AK270" s="283">
        <v>2327</v>
      </c>
      <c r="AL270" s="283">
        <v>1827</v>
      </c>
      <c r="AM270" s="283">
        <v>2016</v>
      </c>
      <c r="AN270" s="283">
        <v>2809</v>
      </c>
      <c r="AO270" s="283">
        <v>2332</v>
      </c>
      <c r="AP270" s="283">
        <v>1629</v>
      </c>
      <c r="AQ270" s="283">
        <v>3541</v>
      </c>
      <c r="AR270" s="283">
        <v>3056</v>
      </c>
    </row>
    <row r="271" spans="1:44" s="283" customFormat="1" ht="31" customHeight="1" x14ac:dyDescent="0.25">
      <c r="A271" s="292" t="s">
        <v>386</v>
      </c>
      <c r="B271" s="292" t="s">
        <v>167</v>
      </c>
      <c r="AG271" s="283">
        <v>438</v>
      </c>
      <c r="AH271" s="283">
        <v>4320</v>
      </c>
      <c r="AI271" s="283">
        <v>5050</v>
      </c>
      <c r="AJ271" s="283">
        <v>3257</v>
      </c>
      <c r="AK271" s="283">
        <v>5345</v>
      </c>
      <c r="AL271" s="283">
        <v>4143</v>
      </c>
      <c r="AM271" s="283">
        <v>6412</v>
      </c>
      <c r="AN271" s="283">
        <v>9887</v>
      </c>
      <c r="AO271" s="283">
        <v>7384</v>
      </c>
      <c r="AP271" s="283">
        <v>6150</v>
      </c>
      <c r="AQ271" s="283">
        <v>8437</v>
      </c>
      <c r="AR271" s="283">
        <v>8164</v>
      </c>
    </row>
    <row r="272" spans="1:44" s="283" customFormat="1" ht="31" customHeight="1" x14ac:dyDescent="0.25">
      <c r="A272" s="292" t="s">
        <v>387</v>
      </c>
      <c r="B272" s="292" t="s">
        <v>167</v>
      </c>
      <c r="AG272" s="283">
        <v>3326</v>
      </c>
      <c r="AH272" s="283">
        <v>25353</v>
      </c>
      <c r="AI272" s="283">
        <v>31098</v>
      </c>
      <c r="AJ272" s="283">
        <v>18750</v>
      </c>
      <c r="AK272" s="283">
        <v>39561</v>
      </c>
      <c r="AL272" s="283">
        <v>28083</v>
      </c>
      <c r="AM272" s="283">
        <v>71084</v>
      </c>
      <c r="AN272" s="283">
        <v>106094</v>
      </c>
      <c r="AO272" s="283">
        <v>107116</v>
      </c>
      <c r="AP272" s="283">
        <v>89709</v>
      </c>
      <c r="AQ272" s="283">
        <v>80792</v>
      </c>
      <c r="AR272" s="283">
        <v>99267</v>
      </c>
    </row>
    <row r="273" spans="1:44" s="283" customFormat="1" ht="31" customHeight="1" x14ac:dyDescent="0.25">
      <c r="A273" s="292" t="s">
        <v>388</v>
      </c>
      <c r="B273" s="292" t="s">
        <v>167</v>
      </c>
      <c r="AG273" s="283">
        <v>9042</v>
      </c>
      <c r="AH273" s="283">
        <v>49427</v>
      </c>
      <c r="AI273" s="283">
        <v>60786</v>
      </c>
      <c r="AJ273" s="283">
        <v>32982</v>
      </c>
      <c r="AK273" s="283">
        <v>59221</v>
      </c>
      <c r="AL273" s="283">
        <v>48628</v>
      </c>
      <c r="AM273" s="283">
        <v>54512</v>
      </c>
      <c r="AN273" s="283">
        <v>77624</v>
      </c>
      <c r="AO273" s="283">
        <v>95147</v>
      </c>
      <c r="AP273" s="283">
        <v>74826</v>
      </c>
      <c r="AQ273" s="283">
        <v>62194</v>
      </c>
      <c r="AR273" s="283">
        <v>56705</v>
      </c>
    </row>
    <row r="274" spans="1:44" s="283" customFormat="1" ht="31" customHeight="1" x14ac:dyDescent="0.25">
      <c r="A274" s="292" t="s">
        <v>389</v>
      </c>
      <c r="B274" s="292" t="s">
        <v>167</v>
      </c>
      <c r="AG274" s="283">
        <v>256</v>
      </c>
      <c r="AH274" s="283">
        <v>1031</v>
      </c>
      <c r="AI274" s="283">
        <v>1361</v>
      </c>
      <c r="AJ274" s="283">
        <v>897</v>
      </c>
      <c r="AK274" s="283">
        <v>1285</v>
      </c>
      <c r="AL274" s="283">
        <v>1175</v>
      </c>
      <c r="AM274" s="283">
        <v>1428</v>
      </c>
      <c r="AN274" s="283">
        <v>1746</v>
      </c>
      <c r="AO274" s="283">
        <v>1619</v>
      </c>
      <c r="AP274" s="283">
        <v>1369</v>
      </c>
      <c r="AQ274" s="283">
        <v>1248</v>
      </c>
      <c r="AR274" s="283">
        <v>1784</v>
      </c>
    </row>
    <row r="275" spans="1:44" s="283" customFormat="1" ht="31" customHeight="1" x14ac:dyDescent="0.25">
      <c r="A275" s="292" t="s">
        <v>390</v>
      </c>
      <c r="B275" s="292" t="s">
        <v>167</v>
      </c>
      <c r="AG275" s="283">
        <v>5792</v>
      </c>
      <c r="AH275" s="283">
        <v>20854</v>
      </c>
      <c r="AI275" s="283">
        <v>0</v>
      </c>
      <c r="AJ275" s="283">
        <v>2177</v>
      </c>
      <c r="AK275" s="283">
        <v>1080</v>
      </c>
      <c r="AL275" s="283">
        <v>0</v>
      </c>
      <c r="AM275" s="283">
        <v>0</v>
      </c>
      <c r="AN275" s="283">
        <v>2021</v>
      </c>
      <c r="AO275" s="283">
        <v>733</v>
      </c>
      <c r="AP275" s="283">
        <v>13064</v>
      </c>
      <c r="AQ275" s="283">
        <v>36</v>
      </c>
      <c r="AR275" s="283">
        <v>1408</v>
      </c>
    </row>
    <row r="276" spans="1:44" s="283" customFormat="1" ht="31" customHeight="1" x14ac:dyDescent="0.25">
      <c r="A276" s="292" t="s">
        <v>391</v>
      </c>
      <c r="B276" s="292" t="s">
        <v>185</v>
      </c>
      <c r="AG276" s="283">
        <v>12478.205</v>
      </c>
      <c r="AH276" s="283">
        <v>85408.47</v>
      </c>
      <c r="AI276" s="283">
        <v>100021.495</v>
      </c>
      <c r="AJ276" s="283">
        <v>69069.794999999998</v>
      </c>
      <c r="AK276" s="283">
        <v>97484.7</v>
      </c>
      <c r="AL276" s="283">
        <v>84153.854999999996</v>
      </c>
      <c r="AM276" s="283">
        <v>95244.82</v>
      </c>
      <c r="AN276" s="283">
        <v>123558.95</v>
      </c>
      <c r="AO276" s="283">
        <v>119244.72500000001</v>
      </c>
      <c r="AP276" s="283">
        <v>98233.705000000002</v>
      </c>
      <c r="AQ276" s="283">
        <v>101909.80499999999</v>
      </c>
      <c r="AR276" s="283">
        <v>115501.53</v>
      </c>
    </row>
    <row r="277" spans="1:44" s="283" customFormat="1" ht="31" customHeight="1" x14ac:dyDescent="0.25">
      <c r="A277" s="292" t="s">
        <v>392</v>
      </c>
      <c r="B277" s="292" t="s">
        <v>185</v>
      </c>
      <c r="AG277" s="283">
        <v>0</v>
      </c>
      <c r="AH277" s="283">
        <v>0</v>
      </c>
      <c r="AI277" s="283">
        <v>0</v>
      </c>
      <c r="AJ277" s="283">
        <v>0</v>
      </c>
      <c r="AK277" s="283">
        <v>0</v>
      </c>
      <c r="AL277" s="283">
        <v>0</v>
      </c>
      <c r="AM277" s="283">
        <v>0</v>
      </c>
      <c r="AN277" s="283">
        <v>0</v>
      </c>
      <c r="AO277" s="283">
        <v>0</v>
      </c>
      <c r="AP277" s="283">
        <v>0</v>
      </c>
      <c r="AQ277" s="283">
        <v>0</v>
      </c>
      <c r="AR277" s="283">
        <v>0</v>
      </c>
    </row>
    <row r="278" spans="1:44" s="283" customFormat="1" ht="31" customHeight="1" x14ac:dyDescent="0.25">
      <c r="A278" s="292" t="s">
        <v>393</v>
      </c>
      <c r="B278" s="292" t="s">
        <v>185</v>
      </c>
      <c r="AG278" s="283">
        <v>66.444999999999993</v>
      </c>
      <c r="AH278" s="283">
        <v>464.77</v>
      </c>
      <c r="AI278" s="283">
        <v>570.26</v>
      </c>
      <c r="AJ278" s="283">
        <v>444.36500000000001</v>
      </c>
      <c r="AK278" s="283">
        <v>470.25</v>
      </c>
      <c r="AL278" s="283">
        <v>478.24</v>
      </c>
      <c r="AM278" s="283">
        <v>414.82</v>
      </c>
      <c r="AN278" s="283">
        <v>501.91500000000002</v>
      </c>
      <c r="AO278" s="283">
        <v>471.685</v>
      </c>
      <c r="AP278" s="283">
        <v>399.77499999999998</v>
      </c>
      <c r="AQ278" s="283">
        <v>452.91500000000002</v>
      </c>
      <c r="AR278" s="283">
        <v>441.13499999999999</v>
      </c>
    </row>
    <row r="279" spans="1:44" s="283" customFormat="1" ht="31" customHeight="1" x14ac:dyDescent="0.25">
      <c r="A279" s="292" t="s">
        <v>394</v>
      </c>
      <c r="B279" s="292" t="s">
        <v>185</v>
      </c>
      <c r="AG279" s="283">
        <v>157.66</v>
      </c>
      <c r="AH279" s="283">
        <v>866.45</v>
      </c>
      <c r="AI279" s="283">
        <v>1032.79</v>
      </c>
      <c r="AJ279" s="283">
        <v>1146.4849999999999</v>
      </c>
      <c r="AK279" s="283">
        <v>1013.36</v>
      </c>
      <c r="AL279" s="283">
        <v>1180.68</v>
      </c>
      <c r="AM279" s="283">
        <v>1290.8399999999999</v>
      </c>
      <c r="AN279" s="283">
        <v>1353.17</v>
      </c>
      <c r="AO279" s="283">
        <v>1268.345</v>
      </c>
      <c r="AP279" s="283">
        <v>1063.0650000000001</v>
      </c>
      <c r="AQ279" s="283">
        <v>1236.155</v>
      </c>
      <c r="AR279" s="283">
        <v>1116.4100000000001</v>
      </c>
    </row>
    <row r="280" spans="1:44" s="283" customFormat="1" ht="31" customHeight="1" x14ac:dyDescent="0.25">
      <c r="A280" s="292" t="s">
        <v>395</v>
      </c>
      <c r="B280" s="292" t="s">
        <v>185</v>
      </c>
      <c r="AG280" s="283">
        <v>177.62</v>
      </c>
      <c r="AH280" s="283">
        <v>1371.69</v>
      </c>
      <c r="AI280" s="283">
        <v>1625.94</v>
      </c>
      <c r="AJ280" s="283">
        <v>1447.0650000000001</v>
      </c>
      <c r="AK280" s="283">
        <v>1356.24</v>
      </c>
      <c r="AL280" s="283">
        <v>1582.09</v>
      </c>
      <c r="AM280" s="283">
        <v>1908.25</v>
      </c>
      <c r="AN280" s="283">
        <v>1655.12</v>
      </c>
      <c r="AO280" s="283">
        <v>1548.4749999999999</v>
      </c>
      <c r="AP280" s="283">
        <v>1173.0050000000001</v>
      </c>
      <c r="AQ280" s="283">
        <v>1530.84</v>
      </c>
      <c r="AR280" s="283">
        <v>1611.35</v>
      </c>
    </row>
    <row r="281" spans="1:44" s="283" customFormat="1" ht="31" customHeight="1" x14ac:dyDescent="0.25">
      <c r="A281" s="292" t="s">
        <v>396</v>
      </c>
      <c r="B281" s="292" t="s">
        <v>185</v>
      </c>
      <c r="AG281" s="283">
        <v>3943.91</v>
      </c>
      <c r="AH281" s="283">
        <v>27025.744999999999</v>
      </c>
      <c r="AI281" s="283">
        <v>24235.51</v>
      </c>
      <c r="AJ281" s="283">
        <v>21737.52</v>
      </c>
      <c r="AK281" s="283">
        <v>24557.11</v>
      </c>
      <c r="AL281" s="283">
        <v>24375.09</v>
      </c>
      <c r="AM281" s="283">
        <v>25613.89</v>
      </c>
      <c r="AN281" s="283">
        <v>27289.1</v>
      </c>
      <c r="AO281" s="283">
        <v>22326.424999999999</v>
      </c>
      <c r="AP281" s="283">
        <v>18389.935000000001</v>
      </c>
      <c r="AQ281" s="283">
        <v>23427.35</v>
      </c>
      <c r="AR281" s="283">
        <v>28149.67</v>
      </c>
    </row>
    <row r="282" spans="1:44" s="283" customFormat="1" ht="31" customHeight="1" x14ac:dyDescent="0.25">
      <c r="A282" s="292" t="s">
        <v>397</v>
      </c>
      <c r="B282" s="292" t="s">
        <v>185</v>
      </c>
      <c r="AG282" s="283">
        <v>3.33</v>
      </c>
      <c r="AH282" s="283">
        <v>27.375</v>
      </c>
      <c r="AI282" s="283">
        <v>28.99</v>
      </c>
      <c r="AJ282" s="283">
        <v>24.51</v>
      </c>
      <c r="AK282" s="283">
        <v>36.805</v>
      </c>
      <c r="AL282" s="283">
        <v>29.09</v>
      </c>
      <c r="AM282" s="283">
        <v>30.11</v>
      </c>
      <c r="AN282" s="283">
        <v>37.43</v>
      </c>
      <c r="AO282" s="283">
        <v>29.364999999999998</v>
      </c>
      <c r="AP282" s="283">
        <v>29.23</v>
      </c>
      <c r="AQ282" s="283">
        <v>35.78</v>
      </c>
      <c r="AR282" s="283">
        <v>32.53</v>
      </c>
    </row>
    <row r="283" spans="1:44" s="283" customFormat="1" ht="31" customHeight="1" x14ac:dyDescent="0.25">
      <c r="A283" s="292" t="s">
        <v>398</v>
      </c>
      <c r="B283" s="292" t="s">
        <v>185</v>
      </c>
      <c r="AG283" s="283">
        <v>17.420000000000002</v>
      </c>
      <c r="AH283" s="283">
        <v>151.345</v>
      </c>
      <c r="AI283" s="283">
        <v>176.96</v>
      </c>
      <c r="AJ283" s="283">
        <v>177.49</v>
      </c>
      <c r="AK283" s="283">
        <v>169.80500000000001</v>
      </c>
      <c r="AL283" s="283">
        <v>207.25</v>
      </c>
      <c r="AM283" s="283">
        <v>195.39500000000001</v>
      </c>
      <c r="AN283" s="283">
        <v>209.58</v>
      </c>
      <c r="AO283" s="283">
        <v>166.965</v>
      </c>
      <c r="AP283" s="283">
        <v>173.89500000000001</v>
      </c>
      <c r="AQ283" s="283">
        <v>194.57</v>
      </c>
      <c r="AR283" s="283">
        <v>191.54499999999999</v>
      </c>
    </row>
    <row r="284" spans="1:44" s="283" customFormat="1" ht="31" customHeight="1" x14ac:dyDescent="0.25">
      <c r="A284" s="292" t="s">
        <v>399</v>
      </c>
      <c r="B284" s="292" t="s">
        <v>185</v>
      </c>
      <c r="AG284" s="283">
        <v>38.380000000000003</v>
      </c>
      <c r="AH284" s="283">
        <v>284.66500000000002</v>
      </c>
      <c r="AI284" s="283">
        <v>350.53500000000003</v>
      </c>
      <c r="AJ284" s="283">
        <v>262.53500000000003</v>
      </c>
      <c r="AK284" s="283">
        <v>277.28500000000003</v>
      </c>
      <c r="AL284" s="283">
        <v>423.58499999999998</v>
      </c>
      <c r="AM284" s="283">
        <v>521.20000000000005</v>
      </c>
      <c r="AN284" s="283">
        <v>360.065</v>
      </c>
      <c r="AO284" s="283">
        <v>379.22</v>
      </c>
      <c r="AP284" s="283">
        <v>303.95999999999998</v>
      </c>
      <c r="AQ284" s="283">
        <v>352.07499999999999</v>
      </c>
      <c r="AR284" s="283">
        <v>406.03</v>
      </c>
    </row>
    <row r="285" spans="1:44" s="283" customFormat="1" ht="31" customHeight="1" x14ac:dyDescent="0.25">
      <c r="A285" s="292" t="s">
        <v>400</v>
      </c>
      <c r="B285" s="292" t="s">
        <v>185</v>
      </c>
      <c r="AG285" s="283">
        <v>6705</v>
      </c>
      <c r="AH285" s="283">
        <v>45025.38</v>
      </c>
      <c r="AI285" s="283">
        <v>59634.69</v>
      </c>
      <c r="AJ285" s="283">
        <v>36321.595000000001</v>
      </c>
      <c r="AK285" s="283">
        <v>53996.09</v>
      </c>
      <c r="AL285" s="283">
        <v>44443.684999999998</v>
      </c>
      <c r="AM285" s="283">
        <v>33399.050000000003</v>
      </c>
      <c r="AN285" s="283">
        <v>44212.214999999997</v>
      </c>
      <c r="AO285" s="283">
        <v>44245.32</v>
      </c>
      <c r="AP285" s="283">
        <v>35860.980000000003</v>
      </c>
      <c r="AQ285" s="283">
        <v>37716.785000000003</v>
      </c>
      <c r="AR285" s="283">
        <v>38607.915000000001</v>
      </c>
    </row>
    <row r="286" spans="1:44" s="283" customFormat="1" ht="31" customHeight="1" x14ac:dyDescent="0.25">
      <c r="A286" s="292" t="s">
        <v>401</v>
      </c>
      <c r="B286" s="292" t="s">
        <v>185</v>
      </c>
      <c r="AG286" s="283">
        <v>0.92500000000000004</v>
      </c>
      <c r="AH286" s="283">
        <v>10.795</v>
      </c>
      <c r="AI286" s="283">
        <v>10.115</v>
      </c>
      <c r="AJ286" s="283">
        <v>3.16</v>
      </c>
      <c r="AK286" s="283">
        <v>12.095000000000001</v>
      </c>
      <c r="AL286" s="283">
        <v>9.6050000000000004</v>
      </c>
      <c r="AM286" s="283">
        <v>11.645</v>
      </c>
      <c r="AN286" s="283">
        <v>15.175000000000001</v>
      </c>
      <c r="AO286" s="283">
        <v>14.82</v>
      </c>
      <c r="AP286" s="283">
        <v>7.7750000000000004</v>
      </c>
      <c r="AQ286" s="283">
        <v>12.824999999999999</v>
      </c>
      <c r="AR286" s="283">
        <v>14.05</v>
      </c>
    </row>
    <row r="287" spans="1:44" s="283" customFormat="1" ht="31" customHeight="1" x14ac:dyDescent="0.25">
      <c r="A287" s="292" t="s">
        <v>402</v>
      </c>
      <c r="B287" s="292" t="s">
        <v>185</v>
      </c>
      <c r="AG287" s="283">
        <v>21.574999999999999</v>
      </c>
      <c r="AH287" s="283">
        <v>225.63499999999999</v>
      </c>
      <c r="AI287" s="283">
        <v>235.63499999999999</v>
      </c>
      <c r="AJ287" s="283">
        <v>143.56</v>
      </c>
      <c r="AK287" s="283">
        <v>240.495</v>
      </c>
      <c r="AL287" s="283">
        <v>208.98500000000001</v>
      </c>
      <c r="AM287" s="283">
        <v>248.285</v>
      </c>
      <c r="AN287" s="283">
        <v>344.43</v>
      </c>
      <c r="AO287" s="283">
        <v>272.46499999999997</v>
      </c>
      <c r="AP287" s="283">
        <v>212.22</v>
      </c>
      <c r="AQ287" s="283">
        <v>431.84</v>
      </c>
      <c r="AR287" s="283">
        <v>377.95499999999998</v>
      </c>
    </row>
    <row r="288" spans="1:44" s="283" customFormat="1" ht="31" customHeight="1" x14ac:dyDescent="0.25">
      <c r="A288" s="292" t="s">
        <v>403</v>
      </c>
      <c r="B288" s="292" t="s">
        <v>185</v>
      </c>
      <c r="AG288" s="283">
        <v>82.67</v>
      </c>
      <c r="AH288" s="283">
        <v>774.54</v>
      </c>
      <c r="AI288" s="283">
        <v>894.89499999999998</v>
      </c>
      <c r="AJ288" s="283">
        <v>614.95500000000004</v>
      </c>
      <c r="AK288" s="283">
        <v>920.18499999999995</v>
      </c>
      <c r="AL288" s="283">
        <v>795.6</v>
      </c>
      <c r="AM288" s="283">
        <v>1325.03</v>
      </c>
      <c r="AN288" s="283">
        <v>1904.9449999999999</v>
      </c>
      <c r="AO288" s="283">
        <v>1411.58</v>
      </c>
      <c r="AP288" s="283">
        <v>1204.78</v>
      </c>
      <c r="AQ288" s="283">
        <v>1625.9849999999999</v>
      </c>
      <c r="AR288" s="283">
        <v>1634.36</v>
      </c>
    </row>
    <row r="289" spans="1:44" s="283" customFormat="1" ht="31" customHeight="1" x14ac:dyDescent="0.25">
      <c r="A289" s="292" t="s">
        <v>404</v>
      </c>
      <c r="B289" s="292" t="s">
        <v>185</v>
      </c>
      <c r="AG289" s="283">
        <v>1263.25</v>
      </c>
      <c r="AH289" s="283">
        <v>9180.0450000000001</v>
      </c>
      <c r="AI289" s="283">
        <v>11225.145</v>
      </c>
      <c r="AJ289" s="283">
        <v>6746.53</v>
      </c>
      <c r="AK289" s="283">
        <v>14434.94</v>
      </c>
      <c r="AL289" s="283">
        <v>10419.93</v>
      </c>
      <c r="AM289" s="283">
        <v>30286.28</v>
      </c>
      <c r="AN289" s="283">
        <v>45675.78</v>
      </c>
      <c r="AO289" s="283">
        <v>47110.035000000003</v>
      </c>
      <c r="AP289" s="283">
        <v>39415.055</v>
      </c>
      <c r="AQ289" s="283">
        <v>34892.654999999999</v>
      </c>
      <c r="AR289" s="283">
        <v>42918.555</v>
      </c>
    </row>
    <row r="290" spans="1:44" s="283" customFormat="1" ht="31" customHeight="1" x14ac:dyDescent="0.25">
      <c r="A290" s="292" t="s">
        <v>405</v>
      </c>
      <c r="B290" s="292" t="s">
        <v>185</v>
      </c>
      <c r="AG290" s="283">
        <v>6149.71</v>
      </c>
      <c r="AH290" s="283">
        <v>34723.699999999997</v>
      </c>
      <c r="AI290" s="283">
        <v>41583.879999999997</v>
      </c>
      <c r="AJ290" s="283">
        <v>21723.435000000001</v>
      </c>
      <c r="AK290" s="283">
        <v>38451.084999999999</v>
      </c>
      <c r="AL290" s="283">
        <v>31469.634999999998</v>
      </c>
      <c r="AM290" s="283">
        <v>29316.715</v>
      </c>
      <c r="AN290" s="283">
        <v>41225.699999999997</v>
      </c>
      <c r="AO290" s="283">
        <v>51466.275000000001</v>
      </c>
      <c r="AP290" s="283">
        <v>40104.32</v>
      </c>
      <c r="AQ290" s="283">
        <v>34062.39</v>
      </c>
      <c r="AR290" s="283">
        <v>31548.91</v>
      </c>
    </row>
    <row r="291" spans="1:44" s="283" customFormat="1" ht="31" customHeight="1" x14ac:dyDescent="0.25">
      <c r="A291" s="292" t="s">
        <v>406</v>
      </c>
      <c r="B291" s="292" t="s">
        <v>185</v>
      </c>
      <c r="AG291" s="283">
        <v>177.42</v>
      </c>
      <c r="AH291" s="283">
        <v>810.39</v>
      </c>
      <c r="AI291" s="283">
        <v>991.57</v>
      </c>
      <c r="AJ291" s="283">
        <v>716.48</v>
      </c>
      <c r="AK291" s="283">
        <v>956.88</v>
      </c>
      <c r="AL291" s="283">
        <v>856.51</v>
      </c>
      <c r="AM291" s="283">
        <v>867.42499999999995</v>
      </c>
      <c r="AN291" s="283">
        <v>1168.0550000000001</v>
      </c>
      <c r="AO291" s="283">
        <v>1088.5650000000001</v>
      </c>
      <c r="AP291" s="283">
        <v>915.96500000000003</v>
      </c>
      <c r="AQ291" s="283">
        <v>951.745</v>
      </c>
      <c r="AR291" s="283">
        <v>1163.375</v>
      </c>
    </row>
    <row r="292" spans="1:44" s="283" customFormat="1" ht="31" customHeight="1" x14ac:dyDescent="0.25">
      <c r="A292" s="292" t="s">
        <v>407</v>
      </c>
      <c r="B292" s="292" t="s">
        <v>185</v>
      </c>
      <c r="AG292" s="283">
        <v>4378.55</v>
      </c>
      <c r="AH292" s="283">
        <v>15991.66</v>
      </c>
      <c r="AI292" s="283">
        <v>0</v>
      </c>
      <c r="AJ292" s="283">
        <v>1608.2550000000001</v>
      </c>
      <c r="AK292" s="283">
        <v>748.27</v>
      </c>
      <c r="AL292" s="283">
        <v>0</v>
      </c>
      <c r="AM292" s="283">
        <v>0</v>
      </c>
      <c r="AN292" s="283">
        <v>1109.4449999999999</v>
      </c>
      <c r="AO292" s="283">
        <v>509.09</v>
      </c>
      <c r="AP292" s="283">
        <v>7777.9650000000001</v>
      </c>
      <c r="AQ292" s="283">
        <v>58.305</v>
      </c>
      <c r="AR292" s="283">
        <v>1057.605</v>
      </c>
    </row>
    <row r="293" spans="1:44" s="283" customFormat="1" ht="31" customHeight="1" x14ac:dyDescent="0.25">
      <c r="A293" s="292" t="s">
        <v>408</v>
      </c>
      <c r="B293" s="292" t="s">
        <v>203</v>
      </c>
      <c r="AG293" s="283">
        <v>169.51777777777701</v>
      </c>
      <c r="AH293" s="283">
        <v>1154.4822222222199</v>
      </c>
      <c r="AI293" s="283">
        <v>1384.83527777777</v>
      </c>
      <c r="AJ293" s="283">
        <v>975.57361111111095</v>
      </c>
      <c r="AK293" s="283">
        <v>1267.5022222222201</v>
      </c>
      <c r="AL293" s="283">
        <v>1167.28388888888</v>
      </c>
      <c r="AM293" s="283">
        <v>1267.7436111111101</v>
      </c>
      <c r="AN293" s="283">
        <v>1519.16305555555</v>
      </c>
      <c r="AO293" s="283">
        <v>1465.0855555555499</v>
      </c>
      <c r="AP293" s="283">
        <v>1190.58388888888</v>
      </c>
      <c r="AQ293" s="283">
        <v>1313.1741666666601</v>
      </c>
      <c r="AR293" s="283">
        <v>1437.13944444444</v>
      </c>
    </row>
    <row r="294" spans="1:44" s="283" customFormat="1" ht="31" customHeight="1" x14ac:dyDescent="0.25">
      <c r="A294" s="292" t="s">
        <v>409</v>
      </c>
      <c r="B294" s="292" t="s">
        <v>203</v>
      </c>
      <c r="AG294" s="283">
        <v>22.5966666666666</v>
      </c>
      <c r="AH294" s="283">
        <v>139.465</v>
      </c>
      <c r="AI294" s="283">
        <v>223.891111111111</v>
      </c>
      <c r="AJ294" s="283">
        <v>125.57388888888801</v>
      </c>
      <c r="AK294" s="283">
        <v>153.34138888888799</v>
      </c>
      <c r="AL294" s="283">
        <v>165.468055555555</v>
      </c>
      <c r="AM294" s="283">
        <v>108.29833333333301</v>
      </c>
      <c r="AN294" s="283">
        <v>118.511944444444</v>
      </c>
      <c r="AO294" s="283">
        <v>108.95694444444401</v>
      </c>
      <c r="AP294" s="283">
        <v>77.934722222222206</v>
      </c>
      <c r="AQ294" s="283">
        <v>133.743333333333</v>
      </c>
      <c r="AR294" s="283">
        <v>109.383333333333</v>
      </c>
    </row>
    <row r="295" spans="1:44" s="283" customFormat="1" ht="31" customHeight="1" x14ac:dyDescent="0.25">
      <c r="A295" s="292" t="s">
        <v>410</v>
      </c>
      <c r="B295" s="292" t="s">
        <v>203</v>
      </c>
      <c r="AG295" s="283">
        <v>8.7491666666666603</v>
      </c>
      <c r="AH295" s="283">
        <v>61.1788888888888</v>
      </c>
      <c r="AI295" s="283">
        <v>68.7280555555555</v>
      </c>
      <c r="AJ295" s="283">
        <v>56.305277777777697</v>
      </c>
      <c r="AK295" s="283">
        <v>57.7425</v>
      </c>
      <c r="AL295" s="283">
        <v>58.564999999999998</v>
      </c>
      <c r="AM295" s="283">
        <v>53.750833333333297</v>
      </c>
      <c r="AN295" s="283">
        <v>62.087777777777703</v>
      </c>
      <c r="AO295" s="283">
        <v>58.485277777777704</v>
      </c>
      <c r="AP295" s="283">
        <v>47.163055555555502</v>
      </c>
      <c r="AQ295" s="283">
        <v>55.308611111111098</v>
      </c>
      <c r="AR295" s="283">
        <v>55.998333333333299</v>
      </c>
    </row>
    <row r="296" spans="1:44" s="283" customFormat="1" ht="31" customHeight="1" x14ac:dyDescent="0.25">
      <c r="A296" s="292" t="s">
        <v>411</v>
      </c>
      <c r="B296" s="292" t="s">
        <v>203</v>
      </c>
      <c r="AG296" s="283">
        <v>6.0511111111111102</v>
      </c>
      <c r="AH296" s="283">
        <v>32.897222222222197</v>
      </c>
      <c r="AI296" s="283">
        <v>40.953611111111101</v>
      </c>
      <c r="AJ296" s="283">
        <v>44.157777777777703</v>
      </c>
      <c r="AK296" s="283">
        <v>40.744444444444397</v>
      </c>
      <c r="AL296" s="283">
        <v>45.4433333333333</v>
      </c>
      <c r="AM296" s="283">
        <v>47.9641666666666</v>
      </c>
      <c r="AN296" s="283">
        <v>50.1863888888888</v>
      </c>
      <c r="AO296" s="283">
        <v>47.956666666666599</v>
      </c>
      <c r="AP296" s="283">
        <v>40.605555555555497</v>
      </c>
      <c r="AQ296" s="283">
        <v>47.891111111111101</v>
      </c>
      <c r="AR296" s="283">
        <v>41.802777777777699</v>
      </c>
    </row>
    <row r="297" spans="1:44" s="283" customFormat="1" ht="31" customHeight="1" x14ac:dyDescent="0.25">
      <c r="A297" s="292" t="s">
        <v>412</v>
      </c>
      <c r="B297" s="292" t="s">
        <v>203</v>
      </c>
      <c r="AG297" s="283">
        <v>3.4474999999999998</v>
      </c>
      <c r="AH297" s="283">
        <v>26.4233333333333</v>
      </c>
      <c r="AI297" s="283">
        <v>30.793611111111101</v>
      </c>
      <c r="AJ297" s="283">
        <v>27.4916666666666</v>
      </c>
      <c r="AK297" s="283">
        <v>25.6047222222222</v>
      </c>
      <c r="AL297" s="283">
        <v>30.285</v>
      </c>
      <c r="AM297" s="283">
        <v>36.564999999999998</v>
      </c>
      <c r="AN297" s="283">
        <v>32.123333333333299</v>
      </c>
      <c r="AO297" s="283">
        <v>29.926111111111101</v>
      </c>
      <c r="AP297" s="283">
        <v>22.7430555555555</v>
      </c>
      <c r="AQ297" s="283">
        <v>29.213611111111099</v>
      </c>
      <c r="AR297" s="283">
        <v>30.864444444444398</v>
      </c>
    </row>
    <row r="298" spans="1:44" s="283" customFormat="1" ht="31" customHeight="1" x14ac:dyDescent="0.25">
      <c r="A298" s="292" t="s">
        <v>413</v>
      </c>
      <c r="B298" s="292" t="s">
        <v>203</v>
      </c>
      <c r="AG298" s="283">
        <v>41.571388888888798</v>
      </c>
      <c r="AH298" s="283">
        <v>289.73472222222199</v>
      </c>
      <c r="AI298" s="283">
        <v>255.097777777777</v>
      </c>
      <c r="AJ298" s="283">
        <v>236.495</v>
      </c>
      <c r="AK298" s="283">
        <v>256.13388888888801</v>
      </c>
      <c r="AL298" s="283">
        <v>258.835555555555</v>
      </c>
      <c r="AM298" s="283">
        <v>284.64416666666602</v>
      </c>
      <c r="AN298" s="283">
        <v>281.919166666666</v>
      </c>
      <c r="AO298" s="283">
        <v>234.889444444444</v>
      </c>
      <c r="AP298" s="283">
        <v>193.66611111111101</v>
      </c>
      <c r="AQ298" s="283">
        <v>247.57805555555501</v>
      </c>
      <c r="AR298" s="283">
        <v>296.17722222222199</v>
      </c>
    </row>
    <row r="299" spans="1:44" s="283" customFormat="1" ht="31" customHeight="1" x14ac:dyDescent="0.25">
      <c r="A299" s="292" t="s">
        <v>414</v>
      </c>
      <c r="B299" s="292" t="s">
        <v>203</v>
      </c>
      <c r="AG299" s="283">
        <v>0.32194444444444398</v>
      </c>
      <c r="AH299" s="283">
        <v>2.7605555555555501</v>
      </c>
      <c r="AI299" s="283">
        <v>2.7961111111111099</v>
      </c>
      <c r="AJ299" s="283">
        <v>2.1594444444444401</v>
      </c>
      <c r="AK299" s="283">
        <v>3.6258333333333299</v>
      </c>
      <c r="AL299" s="283">
        <v>2.7947222222222199</v>
      </c>
      <c r="AM299" s="283">
        <v>2.7688888888888799</v>
      </c>
      <c r="AN299" s="283">
        <v>3.5091666666666601</v>
      </c>
      <c r="AO299" s="283">
        <v>2.8180555555555502</v>
      </c>
      <c r="AP299" s="283">
        <v>2.6475</v>
      </c>
      <c r="AQ299" s="283">
        <v>3.30388888888888</v>
      </c>
      <c r="AR299" s="283">
        <v>3.05944444444444</v>
      </c>
    </row>
    <row r="300" spans="1:44" s="283" customFormat="1" ht="31" customHeight="1" x14ac:dyDescent="0.25">
      <c r="A300" s="292" t="s">
        <v>415</v>
      </c>
      <c r="B300" s="292" t="s">
        <v>203</v>
      </c>
      <c r="AG300" s="283">
        <v>0.62388888888888805</v>
      </c>
      <c r="AH300" s="283">
        <v>5.38</v>
      </c>
      <c r="AI300" s="283">
        <v>6.36805555555555</v>
      </c>
      <c r="AJ300" s="283">
        <v>6.3552777777777703</v>
      </c>
      <c r="AK300" s="283">
        <v>6.2102777777777698</v>
      </c>
      <c r="AL300" s="283">
        <v>7.2586111111111098</v>
      </c>
      <c r="AM300" s="283">
        <v>6.9216666666666598</v>
      </c>
      <c r="AN300" s="283">
        <v>7.5255555555555498</v>
      </c>
      <c r="AO300" s="283">
        <v>5.8541666666666599</v>
      </c>
      <c r="AP300" s="283">
        <v>6.33</v>
      </c>
      <c r="AQ300" s="283">
        <v>7.1375000000000002</v>
      </c>
      <c r="AR300" s="283">
        <v>6.8419444444444402</v>
      </c>
    </row>
    <row r="301" spans="1:44" s="283" customFormat="1" ht="31" customHeight="1" x14ac:dyDescent="0.25">
      <c r="A301" s="292" t="s">
        <v>416</v>
      </c>
      <c r="B301" s="292" t="s">
        <v>203</v>
      </c>
      <c r="AG301" s="283">
        <v>0.74138888888888799</v>
      </c>
      <c r="AH301" s="283">
        <v>5.4802777777777703</v>
      </c>
      <c r="AI301" s="283">
        <v>6.6708333333333298</v>
      </c>
      <c r="AJ301" s="283">
        <v>4.9733333333333301</v>
      </c>
      <c r="AK301" s="283">
        <v>5.2638888888888804</v>
      </c>
      <c r="AL301" s="283">
        <v>8.0302777777777692</v>
      </c>
      <c r="AM301" s="283">
        <v>9.8102777777777703</v>
      </c>
      <c r="AN301" s="283">
        <v>6.9105555555555496</v>
      </c>
      <c r="AO301" s="283">
        <v>7.2286111111111104</v>
      </c>
      <c r="AP301" s="283">
        <v>5.8194444444444402</v>
      </c>
      <c r="AQ301" s="283">
        <v>6.6613888888888804</v>
      </c>
      <c r="AR301" s="283">
        <v>7.6938888888888801</v>
      </c>
    </row>
    <row r="302" spans="1:44" s="283" customFormat="1" ht="31" customHeight="1" x14ac:dyDescent="0.25">
      <c r="A302" s="292" t="s">
        <v>417</v>
      </c>
      <c r="B302" s="292" t="s">
        <v>203</v>
      </c>
      <c r="AG302" s="283">
        <v>69.364166666666605</v>
      </c>
      <c r="AH302" s="283">
        <v>467.61361111111103</v>
      </c>
      <c r="AI302" s="283">
        <v>603.10388888888804</v>
      </c>
      <c r="AJ302" s="283">
        <v>381.47666666666601</v>
      </c>
      <c r="AK302" s="283">
        <v>539.91472222222205</v>
      </c>
      <c r="AL302" s="283">
        <v>455.43916666666598</v>
      </c>
      <c r="AM302" s="283">
        <v>353.58777777777698</v>
      </c>
      <c r="AN302" s="283">
        <v>437.55388888888803</v>
      </c>
      <c r="AO302" s="283">
        <v>447.96666666666601</v>
      </c>
      <c r="AP302" s="283">
        <v>359.13</v>
      </c>
      <c r="AQ302" s="283">
        <v>375.06305555555502</v>
      </c>
      <c r="AR302" s="283">
        <v>392.05777777777701</v>
      </c>
    </row>
    <row r="303" spans="1:44" s="283" customFormat="1" ht="31" customHeight="1" x14ac:dyDescent="0.25">
      <c r="A303" s="292" t="s">
        <v>418</v>
      </c>
      <c r="B303" s="292" t="s">
        <v>203</v>
      </c>
      <c r="AG303" s="283">
        <v>7.3055555555555499E-2</v>
      </c>
      <c r="AH303" s="283">
        <v>0.84888888888888803</v>
      </c>
      <c r="AI303" s="283">
        <v>0.80583333333333296</v>
      </c>
      <c r="AJ303" s="283">
        <v>0.24861111111111101</v>
      </c>
      <c r="AK303" s="283">
        <v>0.980833333333333</v>
      </c>
      <c r="AL303" s="283">
        <v>0.77083333333333304</v>
      </c>
      <c r="AM303" s="283">
        <v>0.97694444444444395</v>
      </c>
      <c r="AN303" s="283">
        <v>1.2619444444444401</v>
      </c>
      <c r="AO303" s="283">
        <v>1.2663888888888799</v>
      </c>
      <c r="AP303" s="283">
        <v>0.63222222222222202</v>
      </c>
      <c r="AQ303" s="283">
        <v>1.0488888888888801</v>
      </c>
      <c r="AR303" s="283">
        <v>1.1783333333333299</v>
      </c>
    </row>
    <row r="304" spans="1:44" s="283" customFormat="1" ht="31" customHeight="1" x14ac:dyDescent="0.25">
      <c r="A304" s="292" t="s">
        <v>419</v>
      </c>
      <c r="B304" s="292" t="s">
        <v>203</v>
      </c>
      <c r="AG304" s="283">
        <v>0.71499999999999997</v>
      </c>
      <c r="AH304" s="283">
        <v>7.53944444444444</v>
      </c>
      <c r="AI304" s="283">
        <v>7.8352777777777698</v>
      </c>
      <c r="AJ304" s="283">
        <v>4.6366666666666596</v>
      </c>
      <c r="AK304" s="283">
        <v>8.0402777777777708</v>
      </c>
      <c r="AL304" s="283">
        <v>6.8883333333333301</v>
      </c>
      <c r="AM304" s="283">
        <v>8.2569444444444393</v>
      </c>
      <c r="AN304" s="283">
        <v>11.341944444444399</v>
      </c>
      <c r="AO304" s="283">
        <v>9.10055555555555</v>
      </c>
      <c r="AP304" s="283">
        <v>7.0230555555555503</v>
      </c>
      <c r="AQ304" s="283">
        <v>13.8322222222222</v>
      </c>
      <c r="AR304" s="283">
        <v>12.233888888888799</v>
      </c>
    </row>
    <row r="305" spans="1:44" s="283" customFormat="1" ht="31" customHeight="1" x14ac:dyDescent="0.25">
      <c r="A305" s="292" t="s">
        <v>420</v>
      </c>
      <c r="B305" s="292" t="s">
        <v>203</v>
      </c>
      <c r="AG305" s="283">
        <v>1.56277777777777</v>
      </c>
      <c r="AH305" s="283">
        <v>14.6761111111111</v>
      </c>
      <c r="AI305" s="283">
        <v>16.887222222222199</v>
      </c>
      <c r="AJ305" s="283">
        <v>11.5586111111111</v>
      </c>
      <c r="AK305" s="283">
        <v>17.344999999999999</v>
      </c>
      <c r="AL305" s="283">
        <v>15.0411111111111</v>
      </c>
      <c r="AM305" s="283">
        <v>24.785555555555501</v>
      </c>
      <c r="AN305" s="283">
        <v>36.163055555555502</v>
      </c>
      <c r="AO305" s="283">
        <v>26.835277777777701</v>
      </c>
      <c r="AP305" s="283">
        <v>22.953333333333301</v>
      </c>
      <c r="AQ305" s="283">
        <v>30.8686111111111</v>
      </c>
      <c r="AR305" s="283">
        <v>30.762222222222199</v>
      </c>
    </row>
    <row r="306" spans="1:44" s="283" customFormat="1" ht="31" customHeight="1" x14ac:dyDescent="0.25">
      <c r="A306" s="292" t="s">
        <v>421</v>
      </c>
      <c r="B306" s="292" t="s">
        <v>203</v>
      </c>
      <c r="AG306" s="283">
        <v>13.699722222222199</v>
      </c>
      <c r="AH306" s="283">
        <v>100.484166666666</v>
      </c>
      <c r="AI306" s="283">
        <v>120.90388888888801</v>
      </c>
      <c r="AJ306" s="283">
        <v>74.141388888888798</v>
      </c>
      <c r="AK306" s="283">
        <v>152.55444444444399</v>
      </c>
      <c r="AL306" s="283">
        <v>112.46388888888799</v>
      </c>
      <c r="AM306" s="283">
        <v>329.41305555555499</v>
      </c>
      <c r="AN306" s="283">
        <v>470.06833333333299</v>
      </c>
      <c r="AO306" s="283">
        <v>483.80138888888803</v>
      </c>
      <c r="AP306" s="283">
        <v>403.93583333333299</v>
      </c>
      <c r="AQ306" s="283">
        <v>361.523888888888</v>
      </c>
      <c r="AR306" s="283">
        <v>449.08583333333303</v>
      </c>
    </row>
    <row r="307" spans="1:44" s="283" customFormat="1" ht="31" customHeight="1" x14ac:dyDescent="0.25">
      <c r="A307" s="292" t="s">
        <v>422</v>
      </c>
      <c r="B307" s="292" t="s">
        <v>203</v>
      </c>
      <c r="AG307" s="283">
        <v>65.196111111111094</v>
      </c>
      <c r="AH307" s="283">
        <v>369.34500000000003</v>
      </c>
      <c r="AI307" s="283">
        <v>433.25472222222197</v>
      </c>
      <c r="AJ307" s="283">
        <v>234.447222222222</v>
      </c>
      <c r="AK307" s="283">
        <v>397.11861111111102</v>
      </c>
      <c r="AL307" s="283">
        <v>333.73722222222199</v>
      </c>
      <c r="AM307" s="283">
        <v>326.65222222222201</v>
      </c>
      <c r="AN307" s="283">
        <v>428.41527777777702</v>
      </c>
      <c r="AO307" s="283">
        <v>537.78166666666596</v>
      </c>
      <c r="AP307" s="283">
        <v>414.52194444444399</v>
      </c>
      <c r="AQ307" s="283">
        <v>355.92888888888803</v>
      </c>
      <c r="AR307" s="283">
        <v>334.86666666666599</v>
      </c>
    </row>
    <row r="308" spans="1:44" s="283" customFormat="1" ht="31" customHeight="1" x14ac:dyDescent="0.25">
      <c r="A308" s="292" t="s">
        <v>423</v>
      </c>
      <c r="B308" s="292" t="s">
        <v>203</v>
      </c>
      <c r="AG308" s="283">
        <v>1.9441666666666599</v>
      </c>
      <c r="AH308" s="283">
        <v>9.8188888888888801</v>
      </c>
      <c r="AI308" s="283">
        <v>11.8977777777777</v>
      </c>
      <c r="AJ308" s="283">
        <v>8.7511111111111095</v>
      </c>
      <c r="AK308" s="283">
        <v>10.8983333333333</v>
      </c>
      <c r="AL308" s="283">
        <v>10.4266666666666</v>
      </c>
      <c r="AM308" s="283">
        <v>11.549722222222201</v>
      </c>
      <c r="AN308" s="283">
        <v>13.7533333333333</v>
      </c>
      <c r="AO308" s="283">
        <v>13.07</v>
      </c>
      <c r="AP308" s="283">
        <v>11.469444444444401</v>
      </c>
      <c r="AQ308" s="283">
        <v>11.057222222222199</v>
      </c>
      <c r="AR308" s="283">
        <v>14.1338888888888</v>
      </c>
    </row>
    <row r="309" spans="1:44" s="283" customFormat="1" ht="31" customHeight="1" x14ac:dyDescent="0.25">
      <c r="A309" s="292" t="s">
        <v>424</v>
      </c>
      <c r="B309" s="292" t="s">
        <v>203</v>
      </c>
      <c r="AG309" s="283">
        <v>68.303055555555503</v>
      </c>
      <c r="AH309" s="283">
        <v>195.22833333333301</v>
      </c>
      <c r="AI309" s="283">
        <v>0</v>
      </c>
      <c r="AJ309" s="283">
        <v>20.851388888888799</v>
      </c>
      <c r="AK309" s="283">
        <v>8.7422222222222192</v>
      </c>
      <c r="AL309" s="283">
        <v>0</v>
      </c>
      <c r="AM309" s="283">
        <v>0</v>
      </c>
      <c r="AN309" s="283">
        <v>14.265833333333299</v>
      </c>
      <c r="AO309" s="283">
        <v>6.4486111111111102</v>
      </c>
      <c r="AP309" s="283">
        <v>93.474722222222198</v>
      </c>
      <c r="AQ309" s="283">
        <v>0.78249999999999997</v>
      </c>
      <c r="AR309" s="283">
        <v>12.139444444444401</v>
      </c>
    </row>
    <row r="310" spans="1:44" s="283" customFormat="1" ht="31" customHeight="1" x14ac:dyDescent="0.25">
      <c r="A310" s="292" t="s">
        <v>425</v>
      </c>
      <c r="B310" s="292" t="s">
        <v>221</v>
      </c>
      <c r="AG310" s="283">
        <v>3622.85</v>
      </c>
      <c r="AH310" s="283">
        <v>26968.65</v>
      </c>
      <c r="AI310" s="283">
        <v>30656</v>
      </c>
      <c r="AJ310" s="283">
        <v>21070</v>
      </c>
      <c r="AK310" s="283">
        <v>30803.599999999999</v>
      </c>
      <c r="AL310" s="283">
        <v>25386.2</v>
      </c>
      <c r="AM310" s="283">
        <v>30407.4</v>
      </c>
      <c r="AN310" s="283">
        <v>41129.5</v>
      </c>
      <c r="AO310" s="283">
        <v>40376.1</v>
      </c>
      <c r="AP310" s="283">
        <v>33186.800000000003</v>
      </c>
      <c r="AQ310" s="283">
        <v>33299.949999999997</v>
      </c>
      <c r="AR310" s="283">
        <v>39152.300000000003</v>
      </c>
    </row>
    <row r="311" spans="1:44" s="283" customFormat="1" ht="31" customHeight="1" x14ac:dyDescent="0.25">
      <c r="A311" s="292" t="s">
        <v>426</v>
      </c>
      <c r="B311" s="292" t="s">
        <v>221</v>
      </c>
      <c r="AG311" s="283">
        <v>46.15</v>
      </c>
      <c r="AH311" s="283">
        <v>351.1</v>
      </c>
      <c r="AI311" s="283">
        <v>464.3</v>
      </c>
      <c r="AJ311" s="283">
        <v>282.5</v>
      </c>
      <c r="AK311" s="283">
        <v>345.3</v>
      </c>
      <c r="AL311" s="283">
        <v>361.6</v>
      </c>
      <c r="AM311" s="283">
        <v>224.65</v>
      </c>
      <c r="AN311" s="283">
        <v>256.3</v>
      </c>
      <c r="AO311" s="283">
        <v>237.65</v>
      </c>
      <c r="AP311" s="283">
        <v>162.44999999999999</v>
      </c>
      <c r="AQ311" s="283">
        <v>282.85000000000002</v>
      </c>
      <c r="AR311" s="283">
        <v>245.2</v>
      </c>
    </row>
    <row r="312" spans="1:44" s="283" customFormat="1" ht="31" customHeight="1" x14ac:dyDescent="0.25">
      <c r="A312" s="292" t="s">
        <v>427</v>
      </c>
      <c r="B312" s="292" t="s">
        <v>221</v>
      </c>
      <c r="AG312" s="283">
        <v>40.200000000000003</v>
      </c>
      <c r="AH312" s="283">
        <v>353.85</v>
      </c>
      <c r="AI312" s="283">
        <v>334.25</v>
      </c>
      <c r="AJ312" s="283">
        <v>289.3</v>
      </c>
      <c r="AK312" s="283">
        <v>301.89999999999998</v>
      </c>
      <c r="AL312" s="283">
        <v>294.75</v>
      </c>
      <c r="AM312" s="283">
        <v>233.95</v>
      </c>
      <c r="AN312" s="283">
        <v>293.85000000000002</v>
      </c>
      <c r="AO312" s="283">
        <v>265.14999999999998</v>
      </c>
      <c r="AP312" s="283">
        <v>215.25</v>
      </c>
      <c r="AQ312" s="283">
        <v>249.65</v>
      </c>
      <c r="AR312" s="283">
        <v>276.85000000000002</v>
      </c>
    </row>
    <row r="313" spans="1:44" s="283" customFormat="1" ht="31" customHeight="1" x14ac:dyDescent="0.25">
      <c r="A313" s="292" t="s">
        <v>428</v>
      </c>
      <c r="B313" s="292" t="s">
        <v>221</v>
      </c>
      <c r="AG313" s="283">
        <v>35.75</v>
      </c>
      <c r="AH313" s="283">
        <v>210.6</v>
      </c>
      <c r="AI313" s="283">
        <v>212.95</v>
      </c>
      <c r="AJ313" s="283">
        <v>271.7</v>
      </c>
      <c r="AK313" s="283">
        <v>210.55</v>
      </c>
      <c r="AL313" s="283">
        <v>258.89999999999998</v>
      </c>
      <c r="AM313" s="283">
        <v>243.1</v>
      </c>
      <c r="AN313" s="283">
        <v>235.3</v>
      </c>
      <c r="AO313" s="283">
        <v>236.25</v>
      </c>
      <c r="AP313" s="283">
        <v>199.4</v>
      </c>
      <c r="AQ313" s="283">
        <v>213.7</v>
      </c>
      <c r="AR313" s="283">
        <v>204.8</v>
      </c>
    </row>
    <row r="314" spans="1:44" s="283" customFormat="1" ht="31" customHeight="1" x14ac:dyDescent="0.25">
      <c r="A314" s="292" t="s">
        <v>429</v>
      </c>
      <c r="B314" s="292" t="s">
        <v>221</v>
      </c>
      <c r="AG314" s="283">
        <v>19.75</v>
      </c>
      <c r="AH314" s="283">
        <v>158.9</v>
      </c>
      <c r="AI314" s="283">
        <v>153.05000000000001</v>
      </c>
      <c r="AJ314" s="283">
        <v>121.1</v>
      </c>
      <c r="AK314" s="283">
        <v>109.1</v>
      </c>
      <c r="AL314" s="283">
        <v>163.1</v>
      </c>
      <c r="AM314" s="283">
        <v>188.25</v>
      </c>
      <c r="AN314" s="283">
        <v>133.9</v>
      </c>
      <c r="AO314" s="283">
        <v>150.80000000000001</v>
      </c>
      <c r="AP314" s="283">
        <v>106.4</v>
      </c>
      <c r="AQ314" s="283">
        <v>113.75</v>
      </c>
      <c r="AR314" s="283">
        <v>145.65</v>
      </c>
    </row>
    <row r="315" spans="1:44" s="283" customFormat="1" ht="31" customHeight="1" x14ac:dyDescent="0.25">
      <c r="A315" s="292" t="s">
        <v>430</v>
      </c>
      <c r="B315" s="292" t="s">
        <v>221</v>
      </c>
      <c r="AG315" s="283">
        <v>577.20000000000005</v>
      </c>
      <c r="AH315" s="283">
        <v>4117.75</v>
      </c>
      <c r="AI315" s="283">
        <v>3244.25</v>
      </c>
      <c r="AJ315" s="283">
        <v>3321.4</v>
      </c>
      <c r="AK315" s="283">
        <v>3136.2</v>
      </c>
      <c r="AL315" s="283">
        <v>2988.3</v>
      </c>
      <c r="AM315" s="283">
        <v>2357.1999999999998</v>
      </c>
      <c r="AN315" s="283">
        <v>1990.15</v>
      </c>
      <c r="AO315" s="283">
        <v>1983.3</v>
      </c>
      <c r="AP315" s="283">
        <v>1553.95</v>
      </c>
      <c r="AQ315" s="283">
        <v>1743.15</v>
      </c>
      <c r="AR315" s="283">
        <v>2240.65</v>
      </c>
    </row>
    <row r="316" spans="1:44" s="283" customFormat="1" ht="31" customHeight="1" x14ac:dyDescent="0.25">
      <c r="A316" s="292" t="s">
        <v>431</v>
      </c>
      <c r="B316" s="292" t="s">
        <v>221</v>
      </c>
      <c r="AG316" s="283">
        <v>9.8000000000000007</v>
      </c>
      <c r="AH316" s="283">
        <v>90.05</v>
      </c>
      <c r="AI316" s="283">
        <v>84.2</v>
      </c>
      <c r="AJ316" s="283">
        <v>66.05</v>
      </c>
      <c r="AK316" s="283">
        <v>110.65</v>
      </c>
      <c r="AL316" s="283">
        <v>84.25</v>
      </c>
      <c r="AM316" s="283">
        <v>72.650000000000006</v>
      </c>
      <c r="AN316" s="283">
        <v>92.5</v>
      </c>
      <c r="AO316" s="283">
        <v>75.599999999999994</v>
      </c>
      <c r="AP316" s="283">
        <v>68.849999999999994</v>
      </c>
      <c r="AQ316" s="283">
        <v>86.1</v>
      </c>
      <c r="AR316" s="283">
        <v>84.8</v>
      </c>
    </row>
    <row r="317" spans="1:44" s="283" customFormat="1" ht="31" customHeight="1" x14ac:dyDescent="0.25">
      <c r="A317" s="292" t="s">
        <v>432</v>
      </c>
      <c r="B317" s="292" t="s">
        <v>221</v>
      </c>
      <c r="AG317" s="283">
        <v>19.5</v>
      </c>
      <c r="AH317" s="283">
        <v>182.35</v>
      </c>
      <c r="AI317" s="283">
        <v>200.35</v>
      </c>
      <c r="AJ317" s="283">
        <v>215.5</v>
      </c>
      <c r="AK317" s="283">
        <v>197.25</v>
      </c>
      <c r="AL317" s="283">
        <v>226.95</v>
      </c>
      <c r="AM317" s="283">
        <v>185.1</v>
      </c>
      <c r="AN317" s="283">
        <v>205.65</v>
      </c>
      <c r="AO317" s="283">
        <v>158.1</v>
      </c>
      <c r="AP317" s="283">
        <v>170.8</v>
      </c>
      <c r="AQ317" s="283">
        <v>193.5</v>
      </c>
      <c r="AR317" s="283">
        <v>192.7</v>
      </c>
    </row>
    <row r="318" spans="1:44" s="283" customFormat="1" ht="31" customHeight="1" x14ac:dyDescent="0.25">
      <c r="A318" s="292" t="s">
        <v>433</v>
      </c>
      <c r="B318" s="292" t="s">
        <v>221</v>
      </c>
      <c r="AG318" s="283">
        <v>23.05</v>
      </c>
      <c r="AH318" s="283">
        <v>180.4</v>
      </c>
      <c r="AI318" s="283">
        <v>208.05</v>
      </c>
      <c r="AJ318" s="283">
        <v>167.15</v>
      </c>
      <c r="AK318" s="283">
        <v>167.15</v>
      </c>
      <c r="AL318" s="283">
        <v>253.6</v>
      </c>
      <c r="AM318" s="283">
        <v>264.85000000000002</v>
      </c>
      <c r="AN318" s="283">
        <v>189.7</v>
      </c>
      <c r="AO318" s="283">
        <v>193.55</v>
      </c>
      <c r="AP318" s="283">
        <v>158.9</v>
      </c>
      <c r="AQ318" s="283">
        <v>182.25</v>
      </c>
      <c r="AR318" s="283">
        <v>214.8</v>
      </c>
    </row>
    <row r="319" spans="1:44" s="283" customFormat="1" ht="31" customHeight="1" x14ac:dyDescent="0.25">
      <c r="A319" s="292" t="s">
        <v>434</v>
      </c>
      <c r="B319" s="292" t="s">
        <v>221</v>
      </c>
      <c r="AG319" s="283">
        <v>1996.45</v>
      </c>
      <c r="AH319" s="283">
        <v>14226.6</v>
      </c>
      <c r="AI319" s="283">
        <v>17511.2</v>
      </c>
      <c r="AJ319" s="283">
        <v>11249.55</v>
      </c>
      <c r="AK319" s="283">
        <v>16073</v>
      </c>
      <c r="AL319" s="283">
        <v>13418.2</v>
      </c>
      <c r="AM319" s="283">
        <v>9594.15</v>
      </c>
      <c r="AN319" s="283">
        <v>12053.7</v>
      </c>
      <c r="AO319" s="283">
        <v>12122.9</v>
      </c>
      <c r="AP319" s="283">
        <v>9758</v>
      </c>
      <c r="AQ319" s="283">
        <v>10311.799999999999</v>
      </c>
      <c r="AR319" s="283">
        <v>11108.55</v>
      </c>
    </row>
    <row r="320" spans="1:44" s="283" customFormat="1" ht="31" customHeight="1" x14ac:dyDescent="0.25">
      <c r="A320" s="292" t="s">
        <v>435</v>
      </c>
      <c r="B320" s="292" t="s">
        <v>221</v>
      </c>
      <c r="AG320" s="283">
        <v>3.9</v>
      </c>
      <c r="AH320" s="283">
        <v>52.4</v>
      </c>
      <c r="AI320" s="283">
        <v>45.8</v>
      </c>
      <c r="AJ320" s="283">
        <v>12.7</v>
      </c>
      <c r="AK320" s="283">
        <v>54.2</v>
      </c>
      <c r="AL320" s="283">
        <v>42.4</v>
      </c>
      <c r="AM320" s="283">
        <v>46.2</v>
      </c>
      <c r="AN320" s="283">
        <v>58.5</v>
      </c>
      <c r="AO320" s="283">
        <v>62</v>
      </c>
      <c r="AP320" s="283">
        <v>27.15</v>
      </c>
      <c r="AQ320" s="283">
        <v>48.9</v>
      </c>
      <c r="AR320" s="283">
        <v>59.35</v>
      </c>
    </row>
    <row r="321" spans="1:44" s="283" customFormat="1" ht="31" customHeight="1" x14ac:dyDescent="0.25">
      <c r="A321" s="292" t="s">
        <v>436</v>
      </c>
      <c r="B321" s="292" t="s">
        <v>221</v>
      </c>
      <c r="AG321" s="283">
        <v>42.35</v>
      </c>
      <c r="AH321" s="283">
        <v>488.2</v>
      </c>
      <c r="AI321" s="283">
        <v>484.65</v>
      </c>
      <c r="AJ321" s="283">
        <v>261.60000000000002</v>
      </c>
      <c r="AK321" s="283">
        <v>504.4</v>
      </c>
      <c r="AL321" s="283">
        <v>396.45</v>
      </c>
      <c r="AM321" s="283">
        <v>438.85</v>
      </c>
      <c r="AN321" s="283">
        <v>620.29999999999995</v>
      </c>
      <c r="AO321" s="283">
        <v>511.45</v>
      </c>
      <c r="AP321" s="283">
        <v>352.4</v>
      </c>
      <c r="AQ321" s="283">
        <v>787.6</v>
      </c>
      <c r="AR321" s="283">
        <v>700.75</v>
      </c>
    </row>
    <row r="322" spans="1:44" s="283" customFormat="1" ht="31" customHeight="1" x14ac:dyDescent="0.25">
      <c r="A322" s="292" t="s">
        <v>437</v>
      </c>
      <c r="B322" s="292" t="s">
        <v>221</v>
      </c>
      <c r="AG322" s="283">
        <v>94</v>
      </c>
      <c r="AH322" s="283">
        <v>959.85</v>
      </c>
      <c r="AI322" s="283">
        <v>1080.25</v>
      </c>
      <c r="AJ322" s="283">
        <v>718.8</v>
      </c>
      <c r="AK322" s="283">
        <v>1146.95</v>
      </c>
      <c r="AL322" s="283">
        <v>890.65</v>
      </c>
      <c r="AM322" s="283">
        <v>1392.4</v>
      </c>
      <c r="AN322" s="283">
        <v>2174.5500000000002</v>
      </c>
      <c r="AO322" s="283">
        <v>1601.4</v>
      </c>
      <c r="AP322" s="283">
        <v>1330.7</v>
      </c>
      <c r="AQ322" s="283">
        <v>1837.8</v>
      </c>
      <c r="AR322" s="283">
        <v>1852.65</v>
      </c>
    </row>
    <row r="323" spans="1:44" s="283" customFormat="1" ht="31" customHeight="1" x14ac:dyDescent="0.25">
      <c r="A323" s="292" t="s">
        <v>438</v>
      </c>
      <c r="B323" s="292" t="s">
        <v>221</v>
      </c>
      <c r="AG323" s="283">
        <v>714.45</v>
      </c>
      <c r="AH323" s="283">
        <v>5596.4</v>
      </c>
      <c r="AI323" s="283">
        <v>6632.4</v>
      </c>
      <c r="AJ323" s="283">
        <v>4092.35</v>
      </c>
      <c r="AK323" s="283">
        <v>8446.6</v>
      </c>
      <c r="AL323" s="283">
        <v>6006.85</v>
      </c>
      <c r="AM323" s="283">
        <v>15165.75</v>
      </c>
      <c r="AN323" s="283">
        <v>22824.75</v>
      </c>
      <c r="AO323" s="283">
        <v>22777.65</v>
      </c>
      <c r="AP323" s="283">
        <v>19082.3</v>
      </c>
      <c r="AQ323" s="283">
        <v>17248.650000000001</v>
      </c>
      <c r="AR323" s="283">
        <v>21825.15</v>
      </c>
    </row>
    <row r="324" spans="1:44" s="283" customFormat="1" ht="31" customHeight="1" x14ac:dyDescent="0.25">
      <c r="A324" s="292" t="s">
        <v>439</v>
      </c>
      <c r="B324" s="292" t="s">
        <v>221</v>
      </c>
      <c r="AG324" s="283">
        <v>2008.25</v>
      </c>
      <c r="AH324" s="283">
        <v>11594.3</v>
      </c>
      <c r="AI324" s="283">
        <v>13440.7</v>
      </c>
      <c r="AJ324" s="283">
        <v>7462.25</v>
      </c>
      <c r="AK324" s="283">
        <v>13054.45</v>
      </c>
      <c r="AL324" s="283">
        <v>10733.65</v>
      </c>
      <c r="AM324" s="283">
        <v>11699.5</v>
      </c>
      <c r="AN324" s="283">
        <v>16711.7</v>
      </c>
      <c r="AO324" s="283">
        <v>20297.45</v>
      </c>
      <c r="AP324" s="283">
        <v>15908.5</v>
      </c>
      <c r="AQ324" s="283">
        <v>13302.75</v>
      </c>
      <c r="AR324" s="283">
        <v>12413</v>
      </c>
    </row>
    <row r="325" spans="1:44" s="283" customFormat="1" ht="31" customHeight="1" x14ac:dyDescent="0.25">
      <c r="A325" s="292" t="s">
        <v>440</v>
      </c>
      <c r="B325" s="292" t="s">
        <v>221</v>
      </c>
      <c r="AG325" s="283">
        <v>66.2</v>
      </c>
      <c r="AH325" s="283">
        <v>291.3</v>
      </c>
      <c r="AI325" s="283">
        <v>363.6</v>
      </c>
      <c r="AJ325" s="283">
        <v>260.14999999999998</v>
      </c>
      <c r="AK325" s="283">
        <v>343.2</v>
      </c>
      <c r="AL325" s="283">
        <v>316.55</v>
      </c>
      <c r="AM325" s="283">
        <v>371.8</v>
      </c>
      <c r="AN325" s="283">
        <v>455.1</v>
      </c>
      <c r="AO325" s="283">
        <v>422.3</v>
      </c>
      <c r="AP325" s="283">
        <v>360.7</v>
      </c>
      <c r="AQ325" s="283">
        <v>330.95</v>
      </c>
      <c r="AR325" s="283">
        <v>475.7</v>
      </c>
    </row>
    <row r="326" spans="1:44" s="283" customFormat="1" ht="31" customHeight="1" x14ac:dyDescent="0.25">
      <c r="A326" s="292" t="s">
        <v>441</v>
      </c>
      <c r="B326" s="292" t="s">
        <v>221</v>
      </c>
      <c r="AG326" s="283">
        <v>1380</v>
      </c>
      <c r="AH326" s="283">
        <v>4801.7</v>
      </c>
      <c r="AI326" s="283">
        <v>0</v>
      </c>
      <c r="AJ326" s="283">
        <v>496</v>
      </c>
      <c r="AK326" s="283">
        <v>239.85</v>
      </c>
      <c r="AL326" s="283">
        <v>0</v>
      </c>
      <c r="AM326" s="283">
        <v>0</v>
      </c>
      <c r="AN326" s="283">
        <v>433.55</v>
      </c>
      <c r="AO326" s="283">
        <v>164.4</v>
      </c>
      <c r="AP326" s="283">
        <v>2817.95</v>
      </c>
      <c r="AQ326" s="283">
        <v>9.75</v>
      </c>
      <c r="AR326" s="283">
        <v>314.55</v>
      </c>
    </row>
    <row r="327" spans="1:44" s="283" customFormat="1" ht="31" customHeight="1" x14ac:dyDescent="0.25">
      <c r="A327" s="292" t="s">
        <v>442</v>
      </c>
      <c r="B327" s="292" t="s">
        <v>167</v>
      </c>
      <c r="AG327" s="283">
        <v>16626</v>
      </c>
      <c r="AH327" s="283">
        <v>118718</v>
      </c>
      <c r="AI327" s="283">
        <v>142457</v>
      </c>
      <c r="AJ327" s="283">
        <v>96932</v>
      </c>
      <c r="AK327" s="283">
        <v>144719</v>
      </c>
      <c r="AL327" s="283">
        <v>116948</v>
      </c>
      <c r="AM327" s="283">
        <v>147314</v>
      </c>
      <c r="AN327" s="283">
        <v>196635</v>
      </c>
      <c r="AO327" s="283">
        <v>196515</v>
      </c>
      <c r="AP327" s="283">
        <v>161099</v>
      </c>
      <c r="AQ327" s="283">
        <v>159988</v>
      </c>
      <c r="AR327" s="283">
        <v>182083</v>
      </c>
    </row>
    <row r="328" spans="1:44" s="283" customFormat="1" ht="31" customHeight="1" x14ac:dyDescent="0.25">
      <c r="A328" s="292" t="s">
        <v>443</v>
      </c>
      <c r="B328" s="292" t="s">
        <v>167</v>
      </c>
      <c r="AG328" s="283">
        <v>74</v>
      </c>
      <c r="AH328" s="283">
        <v>783</v>
      </c>
      <c r="AI328" s="283">
        <v>664</v>
      </c>
      <c r="AJ328" s="283">
        <v>584</v>
      </c>
      <c r="AK328" s="283">
        <v>671</v>
      </c>
      <c r="AL328" s="283">
        <v>587</v>
      </c>
      <c r="AM328" s="283">
        <v>877</v>
      </c>
      <c r="AN328" s="283">
        <v>1007</v>
      </c>
      <c r="AO328" s="283">
        <v>1158</v>
      </c>
      <c r="AP328" s="283">
        <v>702</v>
      </c>
      <c r="AQ328" s="283">
        <v>1038</v>
      </c>
      <c r="AR328" s="283">
        <v>953</v>
      </c>
    </row>
    <row r="329" spans="1:44" s="283" customFormat="1" ht="31" customHeight="1" x14ac:dyDescent="0.25">
      <c r="A329" s="292" t="s">
        <v>444</v>
      </c>
      <c r="B329" s="292" t="s">
        <v>167</v>
      </c>
      <c r="AG329" s="283">
        <v>143</v>
      </c>
      <c r="AH329" s="283">
        <v>1200</v>
      </c>
      <c r="AI329" s="283">
        <v>1178</v>
      </c>
      <c r="AJ329" s="283">
        <v>1104</v>
      </c>
      <c r="AK329" s="283">
        <v>1178</v>
      </c>
      <c r="AL329" s="283">
        <v>1087</v>
      </c>
      <c r="AM329" s="283">
        <v>1133</v>
      </c>
      <c r="AN329" s="283">
        <v>1493</v>
      </c>
      <c r="AO329" s="283">
        <v>1434</v>
      </c>
      <c r="AP329" s="283">
        <v>1178</v>
      </c>
      <c r="AQ329" s="283">
        <v>1238</v>
      </c>
      <c r="AR329" s="283">
        <v>1280</v>
      </c>
    </row>
    <row r="330" spans="1:44" s="283" customFormat="1" ht="31" customHeight="1" x14ac:dyDescent="0.25">
      <c r="A330" s="292" t="s">
        <v>445</v>
      </c>
      <c r="B330" s="292" t="s">
        <v>167</v>
      </c>
      <c r="AG330" s="283">
        <v>149</v>
      </c>
      <c r="AH330" s="283">
        <v>779</v>
      </c>
      <c r="AI330" s="283">
        <v>840</v>
      </c>
      <c r="AJ330" s="283">
        <v>1101</v>
      </c>
      <c r="AK330" s="283">
        <v>842</v>
      </c>
      <c r="AL330" s="283">
        <v>1064</v>
      </c>
      <c r="AM330" s="283">
        <v>1287</v>
      </c>
      <c r="AN330" s="283">
        <v>1140</v>
      </c>
      <c r="AO330" s="283">
        <v>1148</v>
      </c>
      <c r="AP330" s="283">
        <v>1030</v>
      </c>
      <c r="AQ330" s="283">
        <v>998</v>
      </c>
      <c r="AR330" s="283">
        <v>963</v>
      </c>
    </row>
    <row r="331" spans="1:44" s="283" customFormat="1" ht="31" customHeight="1" x14ac:dyDescent="0.25">
      <c r="A331" s="292" t="s">
        <v>446</v>
      </c>
      <c r="B331" s="292" t="s">
        <v>167</v>
      </c>
      <c r="AG331" s="283">
        <v>87</v>
      </c>
      <c r="AH331" s="283">
        <v>559</v>
      </c>
      <c r="AI331" s="283">
        <v>626</v>
      </c>
      <c r="AJ331" s="283">
        <v>499</v>
      </c>
      <c r="AK331" s="283">
        <v>436</v>
      </c>
      <c r="AL331" s="283">
        <v>708</v>
      </c>
      <c r="AM331" s="283">
        <v>841</v>
      </c>
      <c r="AN331" s="283">
        <v>569</v>
      </c>
      <c r="AO331" s="283">
        <v>672</v>
      </c>
      <c r="AP331" s="283">
        <v>469</v>
      </c>
      <c r="AQ331" s="283">
        <v>510</v>
      </c>
      <c r="AR331" s="283">
        <v>592</v>
      </c>
    </row>
    <row r="332" spans="1:44" s="283" customFormat="1" ht="31" customHeight="1" x14ac:dyDescent="0.25">
      <c r="A332" s="292" t="s">
        <v>447</v>
      </c>
      <c r="B332" s="292" t="s">
        <v>167</v>
      </c>
      <c r="AG332" s="283">
        <v>2452</v>
      </c>
      <c r="AH332" s="283">
        <v>15915</v>
      </c>
      <c r="AI332" s="283">
        <v>13686</v>
      </c>
      <c r="AJ332" s="283">
        <v>13673</v>
      </c>
      <c r="AK332" s="283">
        <v>13077</v>
      </c>
      <c r="AL332" s="283">
        <v>12540</v>
      </c>
      <c r="AM332" s="283">
        <v>9871</v>
      </c>
      <c r="AN332" s="283">
        <v>7906</v>
      </c>
      <c r="AO332" s="283">
        <v>8233</v>
      </c>
      <c r="AP332" s="283">
        <v>6402</v>
      </c>
      <c r="AQ332" s="283">
        <v>7190</v>
      </c>
      <c r="AR332" s="283">
        <v>8812</v>
      </c>
    </row>
    <row r="333" spans="1:44" s="283" customFormat="1" ht="31" customHeight="1" x14ac:dyDescent="0.25">
      <c r="A333" s="292" t="s">
        <v>448</v>
      </c>
      <c r="B333" s="292" t="s">
        <v>167</v>
      </c>
      <c r="AG333" s="283">
        <v>48</v>
      </c>
      <c r="AH333" s="283">
        <v>427</v>
      </c>
      <c r="AI333" s="283">
        <v>413</v>
      </c>
      <c r="AJ333" s="283">
        <v>322</v>
      </c>
      <c r="AK333" s="283">
        <v>546</v>
      </c>
      <c r="AL333" s="283">
        <v>404</v>
      </c>
      <c r="AM333" s="283">
        <v>440</v>
      </c>
      <c r="AN333" s="283">
        <v>550</v>
      </c>
      <c r="AO333" s="283">
        <v>440</v>
      </c>
      <c r="AP333" s="283">
        <v>411</v>
      </c>
      <c r="AQ333" s="283">
        <v>473</v>
      </c>
      <c r="AR333" s="283">
        <v>456</v>
      </c>
    </row>
    <row r="334" spans="1:44" s="283" customFormat="1" ht="31" customHeight="1" x14ac:dyDescent="0.25">
      <c r="A334" s="292" t="s">
        <v>449</v>
      </c>
      <c r="B334" s="292" t="s">
        <v>167</v>
      </c>
      <c r="AG334" s="283">
        <v>106</v>
      </c>
      <c r="AH334" s="283">
        <v>914</v>
      </c>
      <c r="AI334" s="283">
        <v>1043</v>
      </c>
      <c r="AJ334" s="283">
        <v>1115</v>
      </c>
      <c r="AK334" s="283">
        <v>1030</v>
      </c>
      <c r="AL334" s="283">
        <v>1193</v>
      </c>
      <c r="AM334" s="283">
        <v>1212</v>
      </c>
      <c r="AN334" s="283">
        <v>1265</v>
      </c>
      <c r="AO334" s="283">
        <v>1006</v>
      </c>
      <c r="AP334" s="283">
        <v>1093</v>
      </c>
      <c r="AQ334" s="283">
        <v>1131</v>
      </c>
      <c r="AR334" s="283">
        <v>1110</v>
      </c>
    </row>
    <row r="335" spans="1:44" s="283" customFormat="1" ht="31" customHeight="1" x14ac:dyDescent="0.25">
      <c r="A335" s="292" t="s">
        <v>450</v>
      </c>
      <c r="B335" s="292" t="s">
        <v>167</v>
      </c>
      <c r="AG335" s="283">
        <v>132</v>
      </c>
      <c r="AH335" s="283">
        <v>910</v>
      </c>
      <c r="AI335" s="283">
        <v>1109</v>
      </c>
      <c r="AJ335" s="283">
        <v>952</v>
      </c>
      <c r="AK335" s="283">
        <v>886</v>
      </c>
      <c r="AL335" s="283">
        <v>1377</v>
      </c>
      <c r="AM335" s="283">
        <v>1479</v>
      </c>
      <c r="AN335" s="283">
        <v>1097</v>
      </c>
      <c r="AO335" s="283">
        <v>1137</v>
      </c>
      <c r="AP335" s="283">
        <v>920</v>
      </c>
      <c r="AQ335" s="283">
        <v>1060</v>
      </c>
      <c r="AR335" s="283">
        <v>1160</v>
      </c>
    </row>
    <row r="336" spans="1:44" s="283" customFormat="1" ht="31" customHeight="1" x14ac:dyDescent="0.25">
      <c r="A336" s="292" t="s">
        <v>451</v>
      </c>
      <c r="B336" s="292" t="s">
        <v>167</v>
      </c>
      <c r="AG336" s="283">
        <v>9236</v>
      </c>
      <c r="AH336" s="283">
        <v>62231</v>
      </c>
      <c r="AI336" s="283">
        <v>81062</v>
      </c>
      <c r="AJ336" s="283">
        <v>51719</v>
      </c>
      <c r="AK336" s="283">
        <v>74265</v>
      </c>
      <c r="AL336" s="283">
        <v>61969</v>
      </c>
      <c r="AM336" s="283">
        <v>46045</v>
      </c>
      <c r="AN336" s="283">
        <v>56391</v>
      </c>
      <c r="AO336" s="283">
        <v>58161</v>
      </c>
      <c r="AP336" s="283">
        <v>46593</v>
      </c>
      <c r="AQ336" s="283">
        <v>48679</v>
      </c>
      <c r="AR336" s="283">
        <v>51561</v>
      </c>
    </row>
    <row r="337" spans="1:44" s="283" customFormat="1" ht="31" customHeight="1" x14ac:dyDescent="0.25">
      <c r="A337" s="292" t="s">
        <v>452</v>
      </c>
      <c r="B337" s="292" t="s">
        <v>167</v>
      </c>
      <c r="AG337" s="283">
        <v>19</v>
      </c>
      <c r="AH337" s="283">
        <v>252</v>
      </c>
      <c r="AI337" s="283">
        <v>226</v>
      </c>
      <c r="AJ337" s="283">
        <v>65</v>
      </c>
      <c r="AK337" s="283">
        <v>268</v>
      </c>
      <c r="AL337" s="283">
        <v>205</v>
      </c>
      <c r="AM337" s="283">
        <v>249</v>
      </c>
      <c r="AN337" s="283">
        <v>312</v>
      </c>
      <c r="AO337" s="283">
        <v>331</v>
      </c>
      <c r="AP337" s="283">
        <v>148</v>
      </c>
      <c r="AQ337" s="283">
        <v>260</v>
      </c>
      <c r="AR337" s="283">
        <v>292</v>
      </c>
    </row>
    <row r="338" spans="1:44" s="283" customFormat="1" ht="31" customHeight="1" x14ac:dyDescent="0.25">
      <c r="A338" s="292" t="s">
        <v>453</v>
      </c>
      <c r="B338" s="292" t="s">
        <v>167</v>
      </c>
      <c r="AG338" s="283">
        <v>223</v>
      </c>
      <c r="AH338" s="283">
        <v>2512</v>
      </c>
      <c r="AI338" s="283">
        <v>2594</v>
      </c>
      <c r="AJ338" s="283">
        <v>1376</v>
      </c>
      <c r="AK338" s="283">
        <v>2750</v>
      </c>
      <c r="AL338" s="283">
        <v>2028</v>
      </c>
      <c r="AM338" s="283">
        <v>2449</v>
      </c>
      <c r="AN338" s="283">
        <v>3429</v>
      </c>
      <c r="AO338" s="283">
        <v>2923</v>
      </c>
      <c r="AP338" s="283">
        <v>2027</v>
      </c>
      <c r="AQ338" s="283">
        <v>4075</v>
      </c>
      <c r="AR338" s="283">
        <v>3512</v>
      </c>
    </row>
    <row r="339" spans="1:44" s="283" customFormat="1" ht="31" customHeight="1" x14ac:dyDescent="0.25">
      <c r="A339" s="292" t="s">
        <v>454</v>
      </c>
      <c r="B339" s="292" t="s">
        <v>167</v>
      </c>
      <c r="AG339" s="283">
        <v>507</v>
      </c>
      <c r="AH339" s="283">
        <v>5075</v>
      </c>
      <c r="AI339" s="283">
        <v>5939</v>
      </c>
      <c r="AJ339" s="283">
        <v>4055</v>
      </c>
      <c r="AK339" s="283">
        <v>6442</v>
      </c>
      <c r="AL339" s="283">
        <v>4619</v>
      </c>
      <c r="AM339" s="283">
        <v>7231</v>
      </c>
      <c r="AN339" s="283">
        <v>11052</v>
      </c>
      <c r="AO339" s="283">
        <v>8499</v>
      </c>
      <c r="AP339" s="283">
        <v>6920</v>
      </c>
      <c r="AQ339" s="283">
        <v>9358</v>
      </c>
      <c r="AR339" s="283">
        <v>9038</v>
      </c>
    </row>
    <row r="340" spans="1:44" s="283" customFormat="1" ht="31" customHeight="1" x14ac:dyDescent="0.25">
      <c r="A340" s="292" t="s">
        <v>455</v>
      </c>
      <c r="B340" s="292" t="s">
        <v>167</v>
      </c>
      <c r="AG340" s="283">
        <v>3442</v>
      </c>
      <c r="AH340" s="283">
        <v>27156</v>
      </c>
      <c r="AI340" s="283">
        <v>33071</v>
      </c>
      <c r="AJ340" s="283">
        <v>20360</v>
      </c>
      <c r="AK340" s="283">
        <v>42324</v>
      </c>
      <c r="AL340" s="283">
        <v>29161</v>
      </c>
      <c r="AM340" s="283">
        <v>74195</v>
      </c>
      <c r="AN340" s="283">
        <v>110417</v>
      </c>
      <c r="AO340" s="283">
        <v>111369</v>
      </c>
      <c r="AP340" s="283">
        <v>93199</v>
      </c>
      <c r="AQ340" s="283">
        <v>83971</v>
      </c>
      <c r="AR340" s="283">
        <v>102349</v>
      </c>
    </row>
    <row r="341" spans="1:44" s="283" customFormat="1" ht="31" customHeight="1" x14ac:dyDescent="0.25">
      <c r="A341" s="292" t="s">
        <v>456</v>
      </c>
      <c r="B341" s="292" t="s">
        <v>167</v>
      </c>
      <c r="AG341" s="283">
        <v>9715</v>
      </c>
      <c r="AH341" s="283">
        <v>50642</v>
      </c>
      <c r="AI341" s="283">
        <v>62382</v>
      </c>
      <c r="AJ341" s="283">
        <v>34327</v>
      </c>
      <c r="AK341" s="283">
        <v>61229</v>
      </c>
      <c r="AL341" s="283">
        <v>49359</v>
      </c>
      <c r="AM341" s="283">
        <v>55977</v>
      </c>
      <c r="AN341" s="283">
        <v>79226</v>
      </c>
      <c r="AO341" s="283">
        <v>97300</v>
      </c>
      <c r="AP341" s="283">
        <v>75831</v>
      </c>
      <c r="AQ341" s="283">
        <v>63383</v>
      </c>
      <c r="AR341" s="283">
        <v>57789</v>
      </c>
    </row>
    <row r="342" spans="1:44" s="283" customFormat="1" ht="31" customHeight="1" x14ac:dyDescent="0.25">
      <c r="A342" s="292" t="s">
        <v>457</v>
      </c>
      <c r="B342" s="292" t="s">
        <v>167</v>
      </c>
      <c r="AG342" s="283">
        <v>283</v>
      </c>
      <c r="AH342" s="283">
        <v>1116</v>
      </c>
      <c r="AI342" s="283">
        <v>1480</v>
      </c>
      <c r="AJ342" s="283">
        <v>958</v>
      </c>
      <c r="AK342" s="283">
        <v>1331</v>
      </c>
      <c r="AL342" s="283">
        <v>1264</v>
      </c>
      <c r="AM342" s="283">
        <v>1495</v>
      </c>
      <c r="AN342" s="283">
        <v>1867</v>
      </c>
      <c r="AO342" s="283">
        <v>1810</v>
      </c>
      <c r="AP342" s="283">
        <v>1446</v>
      </c>
      <c r="AQ342" s="283">
        <v>1318</v>
      </c>
      <c r="AR342" s="283">
        <v>1893</v>
      </c>
    </row>
    <row r="343" spans="1:44" s="283" customFormat="1" ht="31" customHeight="1" x14ac:dyDescent="0.25">
      <c r="A343" s="292" t="s">
        <v>458</v>
      </c>
      <c r="B343" s="292" t="s">
        <v>167</v>
      </c>
      <c r="AG343" s="283">
        <v>8501</v>
      </c>
      <c r="AH343" s="283">
        <v>22814</v>
      </c>
      <c r="AI343" s="283">
        <v>0</v>
      </c>
      <c r="AJ343" s="283">
        <v>3025</v>
      </c>
      <c r="AK343" s="283">
        <v>1108</v>
      </c>
      <c r="AL343" s="283">
        <v>0</v>
      </c>
      <c r="AM343" s="283">
        <v>26</v>
      </c>
      <c r="AN343" s="283">
        <v>2191</v>
      </c>
      <c r="AO343" s="283">
        <v>776</v>
      </c>
      <c r="AP343" s="283">
        <v>13483</v>
      </c>
      <c r="AQ343" s="283">
        <v>61</v>
      </c>
      <c r="AR343" s="283">
        <v>1496</v>
      </c>
    </row>
    <row r="344" spans="1:44" s="283" customFormat="1" ht="31" customHeight="1" x14ac:dyDescent="0.25">
      <c r="A344" s="292" t="s">
        <v>459</v>
      </c>
      <c r="B344" s="292" t="s">
        <v>185</v>
      </c>
      <c r="AG344" s="283">
        <v>13034.2</v>
      </c>
      <c r="AH344" s="283">
        <v>89294.99</v>
      </c>
      <c r="AI344" s="283">
        <v>104195.88</v>
      </c>
      <c r="AJ344" s="283">
        <v>73897.679999999993</v>
      </c>
      <c r="AK344" s="283">
        <v>101596.6</v>
      </c>
      <c r="AL344" s="283">
        <v>87476.375</v>
      </c>
      <c r="AM344" s="283">
        <v>101363.78</v>
      </c>
      <c r="AN344" s="283">
        <v>129806.61</v>
      </c>
      <c r="AO344" s="283">
        <v>125850.38</v>
      </c>
      <c r="AP344" s="283">
        <v>103324.97500000001</v>
      </c>
      <c r="AQ344" s="283">
        <v>106949.495</v>
      </c>
      <c r="AR344" s="283">
        <v>120724.8</v>
      </c>
    </row>
    <row r="345" spans="1:44" s="283" customFormat="1" ht="31" customHeight="1" x14ac:dyDescent="0.25">
      <c r="A345" s="292" t="s">
        <v>460</v>
      </c>
      <c r="B345" s="292" t="s">
        <v>185</v>
      </c>
      <c r="AG345" s="283">
        <v>0</v>
      </c>
      <c r="AH345" s="283">
        <v>0</v>
      </c>
      <c r="AI345" s="283">
        <v>0</v>
      </c>
      <c r="AJ345" s="283">
        <v>0</v>
      </c>
      <c r="AK345" s="283">
        <v>0</v>
      </c>
      <c r="AL345" s="283">
        <v>0</v>
      </c>
      <c r="AM345" s="283">
        <v>0</v>
      </c>
      <c r="AN345" s="283">
        <v>0</v>
      </c>
      <c r="AO345" s="283">
        <v>0</v>
      </c>
      <c r="AP345" s="283">
        <v>0</v>
      </c>
      <c r="AQ345" s="283">
        <v>0</v>
      </c>
      <c r="AR345" s="283">
        <v>0</v>
      </c>
    </row>
    <row r="346" spans="1:44" s="283" customFormat="1" ht="31" customHeight="1" x14ac:dyDescent="0.25">
      <c r="A346" s="292" t="s">
        <v>461</v>
      </c>
      <c r="B346" s="292" t="s">
        <v>185</v>
      </c>
      <c r="AG346" s="283">
        <v>87.14</v>
      </c>
      <c r="AH346" s="283">
        <v>621.46500000000003</v>
      </c>
      <c r="AI346" s="283">
        <v>696.69500000000005</v>
      </c>
      <c r="AJ346" s="283">
        <v>584.91999999999996</v>
      </c>
      <c r="AK346" s="283">
        <v>603.68499999999995</v>
      </c>
      <c r="AL346" s="283">
        <v>627.70000000000005</v>
      </c>
      <c r="AM346" s="283">
        <v>636.45000000000005</v>
      </c>
      <c r="AN346" s="283">
        <v>826.28499999999997</v>
      </c>
      <c r="AO346" s="283">
        <v>852.06500000000005</v>
      </c>
      <c r="AP346" s="283">
        <v>700.79</v>
      </c>
      <c r="AQ346" s="283">
        <v>727.61</v>
      </c>
      <c r="AR346" s="283">
        <v>697.77</v>
      </c>
    </row>
    <row r="347" spans="1:44" s="283" customFormat="1" ht="31" customHeight="1" x14ac:dyDescent="0.25">
      <c r="A347" s="292" t="s">
        <v>462</v>
      </c>
      <c r="B347" s="292" t="s">
        <v>185</v>
      </c>
      <c r="AG347" s="283">
        <v>196.19</v>
      </c>
      <c r="AH347" s="283">
        <v>1067.7550000000001</v>
      </c>
      <c r="AI347" s="283">
        <v>1208.145</v>
      </c>
      <c r="AJ347" s="283">
        <v>1412.36</v>
      </c>
      <c r="AK347" s="283">
        <v>1195.49</v>
      </c>
      <c r="AL347" s="283">
        <v>1389.07</v>
      </c>
      <c r="AM347" s="283">
        <v>1847.895</v>
      </c>
      <c r="AN347" s="283">
        <v>1833.89</v>
      </c>
      <c r="AO347" s="283">
        <v>1753.5050000000001</v>
      </c>
      <c r="AP347" s="283">
        <v>1506.01</v>
      </c>
      <c r="AQ347" s="283">
        <v>1622.1</v>
      </c>
      <c r="AR347" s="283">
        <v>1516.605</v>
      </c>
    </row>
    <row r="348" spans="1:44" s="283" customFormat="1" ht="31" customHeight="1" x14ac:dyDescent="0.25">
      <c r="A348" s="292" t="s">
        <v>463</v>
      </c>
      <c r="B348" s="292" t="s">
        <v>185</v>
      </c>
      <c r="AG348" s="283">
        <v>210.73</v>
      </c>
      <c r="AH348" s="283">
        <v>1538.5450000000001</v>
      </c>
      <c r="AI348" s="283">
        <v>1821.04</v>
      </c>
      <c r="AJ348" s="283">
        <v>1700.78</v>
      </c>
      <c r="AK348" s="283">
        <v>1528.56</v>
      </c>
      <c r="AL348" s="283">
        <v>1800.77</v>
      </c>
      <c r="AM348" s="283">
        <v>2260.87</v>
      </c>
      <c r="AN348" s="283">
        <v>1994.155</v>
      </c>
      <c r="AO348" s="283">
        <v>1884.53</v>
      </c>
      <c r="AP348" s="283">
        <v>1382.87</v>
      </c>
      <c r="AQ348" s="283">
        <v>1823.15</v>
      </c>
      <c r="AR348" s="283">
        <v>1890.665</v>
      </c>
    </row>
    <row r="349" spans="1:44" s="283" customFormat="1" ht="31" customHeight="1" x14ac:dyDescent="0.25">
      <c r="A349" s="292" t="s">
        <v>464</v>
      </c>
      <c r="B349" s="292" t="s">
        <v>185</v>
      </c>
      <c r="AG349" s="283">
        <v>4119.6400000000003</v>
      </c>
      <c r="AH349" s="283">
        <v>28150.125</v>
      </c>
      <c r="AI349" s="283">
        <v>25201.705000000002</v>
      </c>
      <c r="AJ349" s="283">
        <v>23271.27</v>
      </c>
      <c r="AK349" s="283">
        <v>25582.595000000001</v>
      </c>
      <c r="AL349" s="283">
        <v>25238.615000000002</v>
      </c>
      <c r="AM349" s="283">
        <v>26971.474999999999</v>
      </c>
      <c r="AN349" s="283">
        <v>28636.46</v>
      </c>
      <c r="AO349" s="283">
        <v>23594.224999999999</v>
      </c>
      <c r="AP349" s="283">
        <v>19293.055</v>
      </c>
      <c r="AQ349" s="283">
        <v>24598.81</v>
      </c>
      <c r="AR349" s="283">
        <v>29421.445</v>
      </c>
    </row>
    <row r="350" spans="1:44" s="283" customFormat="1" ht="31" customHeight="1" x14ac:dyDescent="0.25">
      <c r="A350" s="292" t="s">
        <v>465</v>
      </c>
      <c r="B350" s="292" t="s">
        <v>185</v>
      </c>
      <c r="AG350" s="283">
        <v>3.87</v>
      </c>
      <c r="AH350" s="283">
        <v>32.634999999999998</v>
      </c>
      <c r="AI350" s="283">
        <v>33.24</v>
      </c>
      <c r="AJ350" s="283">
        <v>28.73</v>
      </c>
      <c r="AK350" s="283">
        <v>42.585000000000001</v>
      </c>
      <c r="AL350" s="283">
        <v>32.725000000000001</v>
      </c>
      <c r="AM350" s="283">
        <v>43.545000000000002</v>
      </c>
      <c r="AN350" s="283">
        <v>53.424999999999997</v>
      </c>
      <c r="AO350" s="283">
        <v>41.26</v>
      </c>
      <c r="AP350" s="283">
        <v>41.204999999999998</v>
      </c>
      <c r="AQ350" s="283">
        <v>46.38</v>
      </c>
      <c r="AR350" s="283">
        <v>43.77</v>
      </c>
    </row>
    <row r="351" spans="1:44" s="283" customFormat="1" ht="31" customHeight="1" x14ac:dyDescent="0.25">
      <c r="A351" s="292" t="s">
        <v>466</v>
      </c>
      <c r="B351" s="292" t="s">
        <v>185</v>
      </c>
      <c r="AG351" s="283">
        <v>22.09</v>
      </c>
      <c r="AH351" s="283">
        <v>187.08500000000001</v>
      </c>
      <c r="AI351" s="283">
        <v>211.36500000000001</v>
      </c>
      <c r="AJ351" s="283">
        <v>224.42500000000001</v>
      </c>
      <c r="AK351" s="283">
        <v>203.66499999999999</v>
      </c>
      <c r="AL351" s="283">
        <v>251.38</v>
      </c>
      <c r="AM351" s="283">
        <v>298.42</v>
      </c>
      <c r="AN351" s="283">
        <v>303.37</v>
      </c>
      <c r="AO351" s="283">
        <v>247.92</v>
      </c>
      <c r="AP351" s="283">
        <v>258.84500000000003</v>
      </c>
      <c r="AQ351" s="283">
        <v>265.29000000000002</v>
      </c>
      <c r="AR351" s="283">
        <v>265.95</v>
      </c>
    </row>
    <row r="352" spans="1:44" s="283" customFormat="1" ht="31" customHeight="1" x14ac:dyDescent="0.25">
      <c r="A352" s="292" t="s">
        <v>467</v>
      </c>
      <c r="B352" s="292" t="s">
        <v>185</v>
      </c>
      <c r="AG352" s="283">
        <v>49.68</v>
      </c>
      <c r="AH352" s="283">
        <v>339.625</v>
      </c>
      <c r="AI352" s="283">
        <v>418.88</v>
      </c>
      <c r="AJ352" s="283">
        <v>352.39</v>
      </c>
      <c r="AK352" s="283">
        <v>329.20499999999998</v>
      </c>
      <c r="AL352" s="283">
        <v>517.92499999999995</v>
      </c>
      <c r="AM352" s="283">
        <v>654.04499999999996</v>
      </c>
      <c r="AN352" s="283">
        <v>474.11500000000001</v>
      </c>
      <c r="AO352" s="283">
        <v>502.70499999999998</v>
      </c>
      <c r="AP352" s="283">
        <v>394.54</v>
      </c>
      <c r="AQ352" s="283">
        <v>463.75</v>
      </c>
      <c r="AR352" s="283">
        <v>507.36500000000001</v>
      </c>
    </row>
    <row r="353" spans="1:44" s="283" customFormat="1" ht="31" customHeight="1" x14ac:dyDescent="0.25">
      <c r="A353" s="292" t="s">
        <v>468</v>
      </c>
      <c r="B353" s="292" t="s">
        <v>185</v>
      </c>
      <c r="AG353" s="283">
        <v>6920.6750000000002</v>
      </c>
      <c r="AH353" s="283">
        <v>46406.66</v>
      </c>
      <c r="AI353" s="283">
        <v>61410.775000000001</v>
      </c>
      <c r="AJ353" s="283">
        <v>38108.025000000001</v>
      </c>
      <c r="AK353" s="283">
        <v>55398.614999999998</v>
      </c>
      <c r="AL353" s="283">
        <v>45700.56</v>
      </c>
      <c r="AM353" s="283">
        <v>35238.105000000003</v>
      </c>
      <c r="AN353" s="283">
        <v>45673.54</v>
      </c>
      <c r="AO353" s="283">
        <v>46103.714999999997</v>
      </c>
      <c r="AP353" s="283">
        <v>37262.92</v>
      </c>
      <c r="AQ353" s="283">
        <v>38911.665000000001</v>
      </c>
      <c r="AR353" s="283">
        <v>39932.720000000001</v>
      </c>
    </row>
    <row r="354" spans="1:44" s="283" customFormat="1" ht="31" customHeight="1" x14ac:dyDescent="0.25">
      <c r="A354" s="292" t="s">
        <v>469</v>
      </c>
      <c r="B354" s="292" t="s">
        <v>185</v>
      </c>
      <c r="AG354" s="283">
        <v>0.99</v>
      </c>
      <c r="AH354" s="283">
        <v>12.195</v>
      </c>
      <c r="AI354" s="283">
        <v>11.035</v>
      </c>
      <c r="AJ354" s="283">
        <v>3.6749999999999998</v>
      </c>
      <c r="AK354" s="283">
        <v>13.32</v>
      </c>
      <c r="AL354" s="283">
        <v>10.355</v>
      </c>
      <c r="AM354" s="283">
        <v>14.09</v>
      </c>
      <c r="AN354" s="283">
        <v>18.23</v>
      </c>
      <c r="AO354" s="283">
        <v>17.82</v>
      </c>
      <c r="AP354" s="283">
        <v>9.3800000000000008</v>
      </c>
      <c r="AQ354" s="283">
        <v>15.15</v>
      </c>
      <c r="AR354" s="283">
        <v>16.454999999999998</v>
      </c>
    </row>
    <row r="355" spans="1:44" s="283" customFormat="1" ht="31" customHeight="1" x14ac:dyDescent="0.25">
      <c r="A355" s="292" t="s">
        <v>470</v>
      </c>
      <c r="B355" s="292" t="s">
        <v>185</v>
      </c>
      <c r="AG355" s="283">
        <v>24.8</v>
      </c>
      <c r="AH355" s="283">
        <v>264.245</v>
      </c>
      <c r="AI355" s="283">
        <v>275</v>
      </c>
      <c r="AJ355" s="283">
        <v>169.2</v>
      </c>
      <c r="AK355" s="283">
        <v>286.89999999999998</v>
      </c>
      <c r="AL355" s="283">
        <v>232.995</v>
      </c>
      <c r="AM355" s="283">
        <v>304.20999999999998</v>
      </c>
      <c r="AN355" s="283">
        <v>423.59</v>
      </c>
      <c r="AO355" s="283">
        <v>344.375</v>
      </c>
      <c r="AP355" s="283">
        <v>265.91000000000003</v>
      </c>
      <c r="AQ355" s="283">
        <v>497.82499999999999</v>
      </c>
      <c r="AR355" s="283">
        <v>435.96499999999997</v>
      </c>
    </row>
    <row r="356" spans="1:44" s="283" customFormat="1" ht="31" customHeight="1" x14ac:dyDescent="0.25">
      <c r="A356" s="292" t="s">
        <v>471</v>
      </c>
      <c r="B356" s="292" t="s">
        <v>185</v>
      </c>
      <c r="AG356" s="283">
        <v>96.555000000000007</v>
      </c>
      <c r="AH356" s="283">
        <v>911.31500000000005</v>
      </c>
      <c r="AI356" s="283">
        <v>1057.48</v>
      </c>
      <c r="AJ356" s="283">
        <v>769.375</v>
      </c>
      <c r="AK356" s="283">
        <v>1110.97</v>
      </c>
      <c r="AL356" s="283">
        <v>891.36500000000001</v>
      </c>
      <c r="AM356" s="283">
        <v>1504.5650000000001</v>
      </c>
      <c r="AN356" s="283">
        <v>2148.02</v>
      </c>
      <c r="AO356" s="283">
        <v>1637.4649999999999</v>
      </c>
      <c r="AP356" s="283">
        <v>1368.0650000000001</v>
      </c>
      <c r="AQ356" s="283">
        <v>1817.25</v>
      </c>
      <c r="AR356" s="283">
        <v>1817.675</v>
      </c>
    </row>
    <row r="357" spans="1:44" s="283" customFormat="1" ht="31" customHeight="1" x14ac:dyDescent="0.25">
      <c r="A357" s="292" t="s">
        <v>472</v>
      </c>
      <c r="B357" s="292" t="s">
        <v>185</v>
      </c>
      <c r="AG357" s="283">
        <v>1301.81</v>
      </c>
      <c r="AH357" s="283">
        <v>9763.3050000000003</v>
      </c>
      <c r="AI357" s="283">
        <v>11850.5</v>
      </c>
      <c r="AJ357" s="283">
        <v>7272.5050000000001</v>
      </c>
      <c r="AK357" s="283">
        <v>15300.975</v>
      </c>
      <c r="AL357" s="283">
        <v>10782.89</v>
      </c>
      <c r="AM357" s="283">
        <v>31590.09</v>
      </c>
      <c r="AN357" s="283">
        <v>47421.495000000003</v>
      </c>
      <c r="AO357" s="283">
        <v>48870.76</v>
      </c>
      <c r="AP357" s="283">
        <v>40841.360000000001</v>
      </c>
      <c r="AQ357" s="283">
        <v>36160.49</v>
      </c>
      <c r="AR357" s="283">
        <v>44178.385000000002</v>
      </c>
    </row>
    <row r="358" spans="1:44" s="283" customFormat="1" ht="31" customHeight="1" x14ac:dyDescent="0.25">
      <c r="A358" s="292" t="s">
        <v>473</v>
      </c>
      <c r="B358" s="292" t="s">
        <v>185</v>
      </c>
      <c r="AG358" s="283">
        <v>6549.6</v>
      </c>
      <c r="AH358" s="283">
        <v>35378.264999999999</v>
      </c>
      <c r="AI358" s="283">
        <v>42495.264999999999</v>
      </c>
      <c r="AJ358" s="283">
        <v>22423.95</v>
      </c>
      <c r="AK358" s="283">
        <v>39441.230000000003</v>
      </c>
      <c r="AL358" s="283">
        <v>31854.080000000002</v>
      </c>
      <c r="AM358" s="283">
        <v>30100.685000000001</v>
      </c>
      <c r="AN358" s="283">
        <v>41975.654999999999</v>
      </c>
      <c r="AO358" s="283">
        <v>52464.855000000003</v>
      </c>
      <c r="AP358" s="283">
        <v>40584.83</v>
      </c>
      <c r="AQ358" s="283">
        <v>34597.94</v>
      </c>
      <c r="AR358" s="283">
        <v>32111.88</v>
      </c>
    </row>
    <row r="359" spans="1:44" s="283" customFormat="1" ht="31" customHeight="1" x14ac:dyDescent="0.25">
      <c r="A359" s="292" t="s">
        <v>474</v>
      </c>
      <c r="B359" s="292" t="s">
        <v>185</v>
      </c>
      <c r="AG359" s="283">
        <v>193.85499999999999</v>
      </c>
      <c r="AH359" s="283">
        <v>866.40499999999997</v>
      </c>
      <c r="AI359" s="283">
        <v>1066.6849999999999</v>
      </c>
      <c r="AJ359" s="283">
        <v>760.4</v>
      </c>
      <c r="AK359" s="283">
        <v>985.8</v>
      </c>
      <c r="AL359" s="283">
        <v>905.58500000000004</v>
      </c>
      <c r="AM359" s="283">
        <v>905.63499999999999</v>
      </c>
      <c r="AN359" s="283">
        <v>1249.3900000000001</v>
      </c>
      <c r="AO359" s="283">
        <v>1198.155</v>
      </c>
      <c r="AP359" s="283">
        <v>960.01499999999999</v>
      </c>
      <c r="AQ359" s="283">
        <v>1009.3</v>
      </c>
      <c r="AR359" s="283">
        <v>1226.5999999999999</v>
      </c>
    </row>
    <row r="360" spans="1:44" s="283" customFormat="1" ht="31" customHeight="1" x14ac:dyDescent="0.25">
      <c r="A360" s="292" t="s">
        <v>475</v>
      </c>
      <c r="B360" s="292" t="s">
        <v>185</v>
      </c>
      <c r="AG360" s="283">
        <v>6045.3050000000003</v>
      </c>
      <c r="AH360" s="283">
        <v>17070.145</v>
      </c>
      <c r="AI360" s="283">
        <v>0.37</v>
      </c>
      <c r="AJ360" s="283">
        <v>2236.2199999999998</v>
      </c>
      <c r="AK360" s="283">
        <v>759.93499999999995</v>
      </c>
      <c r="AL360" s="283">
        <v>0</v>
      </c>
      <c r="AM360" s="283">
        <v>15.065</v>
      </c>
      <c r="AN360" s="283">
        <v>1196.56</v>
      </c>
      <c r="AO360" s="283">
        <v>539.92999999999995</v>
      </c>
      <c r="AP360" s="283">
        <v>7990.33</v>
      </c>
      <c r="AQ360" s="283">
        <v>91.805000000000007</v>
      </c>
      <c r="AR360" s="283">
        <v>1104.4949999999999</v>
      </c>
    </row>
    <row r="361" spans="1:44" s="283" customFormat="1" ht="31" customHeight="1" x14ac:dyDescent="0.25">
      <c r="A361" s="292" t="s">
        <v>476</v>
      </c>
      <c r="B361" s="292" t="s">
        <v>203</v>
      </c>
      <c r="AG361" s="283">
        <v>197.52833333333299</v>
      </c>
      <c r="AH361" s="283">
        <v>1320.9355555555501</v>
      </c>
      <c r="AI361" s="283">
        <v>1582.57638888888</v>
      </c>
      <c r="AJ361" s="283">
        <v>1147.1655555555501</v>
      </c>
      <c r="AK361" s="283">
        <v>1412.7802777777699</v>
      </c>
      <c r="AL361" s="283">
        <v>1309.61333333333</v>
      </c>
      <c r="AM361" s="283">
        <v>1492.0105555555499</v>
      </c>
      <c r="AN361" s="283">
        <v>1756.4649999999999</v>
      </c>
      <c r="AO361" s="283">
        <v>1759.40361111111</v>
      </c>
      <c r="AP361" s="283">
        <v>1390.5180555555501</v>
      </c>
      <c r="AQ361" s="283">
        <v>1521.1586111111101</v>
      </c>
      <c r="AR361" s="283">
        <v>1644.98027777777</v>
      </c>
    </row>
    <row r="362" spans="1:44" s="283" customFormat="1" ht="31" customHeight="1" x14ac:dyDescent="0.25">
      <c r="A362" s="292" t="s">
        <v>477</v>
      </c>
      <c r="B362" s="292" t="s">
        <v>203</v>
      </c>
      <c r="AG362" s="283">
        <v>40.035555555555497</v>
      </c>
      <c r="AH362" s="283">
        <v>232.458611111111</v>
      </c>
      <c r="AI362" s="283">
        <v>350.33472222222201</v>
      </c>
      <c r="AJ362" s="283">
        <v>212.755277777777</v>
      </c>
      <c r="AK362" s="283">
        <v>226.59138888888799</v>
      </c>
      <c r="AL362" s="283">
        <v>243.175833333333</v>
      </c>
      <c r="AM362" s="283">
        <v>210.146388888888</v>
      </c>
      <c r="AN362" s="283">
        <v>225.532222222222</v>
      </c>
      <c r="AO362" s="283">
        <v>260.98111111111098</v>
      </c>
      <c r="AP362" s="283">
        <v>166.42194444444399</v>
      </c>
      <c r="AQ362" s="283">
        <v>233.41499999999999</v>
      </c>
      <c r="AR362" s="283">
        <v>208.19972222222199</v>
      </c>
    </row>
    <row r="363" spans="1:44" s="283" customFormat="1" ht="31" customHeight="1" x14ac:dyDescent="0.25">
      <c r="A363" s="292" t="s">
        <v>478</v>
      </c>
      <c r="B363" s="292" t="s">
        <v>203</v>
      </c>
      <c r="AG363" s="283">
        <v>11.5761111111111</v>
      </c>
      <c r="AH363" s="283">
        <v>81.4155555555555</v>
      </c>
      <c r="AI363" s="283">
        <v>84.7766666666666</v>
      </c>
      <c r="AJ363" s="283">
        <v>74.297777777777696</v>
      </c>
      <c r="AK363" s="283">
        <v>74.869444444444397</v>
      </c>
      <c r="AL363" s="283">
        <v>76.491111111111096</v>
      </c>
      <c r="AM363" s="283">
        <v>84.694999999999993</v>
      </c>
      <c r="AN363" s="283">
        <v>102.668333333333</v>
      </c>
      <c r="AO363" s="283">
        <v>108.148055555555</v>
      </c>
      <c r="AP363" s="283">
        <v>85.221666666666593</v>
      </c>
      <c r="AQ363" s="283">
        <v>90.452222222222204</v>
      </c>
      <c r="AR363" s="283">
        <v>89.975833333333298</v>
      </c>
    </row>
    <row r="364" spans="1:44" s="283" customFormat="1" ht="31" customHeight="1" x14ac:dyDescent="0.25">
      <c r="A364" s="292" t="s">
        <v>479</v>
      </c>
      <c r="B364" s="292" t="s">
        <v>203</v>
      </c>
      <c r="AG364" s="283">
        <v>7.5058333333333298</v>
      </c>
      <c r="AH364" s="283">
        <v>41.057222222222201</v>
      </c>
      <c r="AI364" s="283">
        <v>47.99</v>
      </c>
      <c r="AJ364" s="283">
        <v>54.564444444444398</v>
      </c>
      <c r="AK364" s="283">
        <v>48.307499999999997</v>
      </c>
      <c r="AL364" s="283">
        <v>53.728333333333303</v>
      </c>
      <c r="AM364" s="283">
        <v>68.899722222222195</v>
      </c>
      <c r="AN364" s="283">
        <v>68.8</v>
      </c>
      <c r="AO364" s="283">
        <v>66.904166666666598</v>
      </c>
      <c r="AP364" s="283">
        <v>58.205833333333302</v>
      </c>
      <c r="AQ364" s="283">
        <v>63.2986111111111</v>
      </c>
      <c r="AR364" s="283">
        <v>57.9288888888888</v>
      </c>
    </row>
    <row r="365" spans="1:44" s="283" customFormat="1" ht="31" customHeight="1" x14ac:dyDescent="0.25">
      <c r="A365" s="292" t="s">
        <v>480</v>
      </c>
      <c r="B365" s="292" t="s">
        <v>203</v>
      </c>
      <c r="AG365" s="283">
        <v>4.07388888888888</v>
      </c>
      <c r="AH365" s="283">
        <v>29.636944444444399</v>
      </c>
      <c r="AI365" s="283">
        <v>34.528888888888801</v>
      </c>
      <c r="AJ365" s="283">
        <v>32.312777777777697</v>
      </c>
      <c r="AK365" s="283">
        <v>28.890555555555501</v>
      </c>
      <c r="AL365" s="283">
        <v>34.441388888888802</v>
      </c>
      <c r="AM365" s="283">
        <v>43.53</v>
      </c>
      <c r="AN365" s="283">
        <v>38.784999999999997</v>
      </c>
      <c r="AO365" s="283">
        <v>36.610277777777704</v>
      </c>
      <c r="AP365" s="283">
        <v>26.940277777777698</v>
      </c>
      <c r="AQ365" s="283">
        <v>34.891388888888798</v>
      </c>
      <c r="AR365" s="283">
        <v>36.345277777777703</v>
      </c>
    </row>
    <row r="366" spans="1:44" s="283" customFormat="1" ht="31" customHeight="1" x14ac:dyDescent="0.25">
      <c r="A366" s="292" t="s">
        <v>481</v>
      </c>
      <c r="B366" s="292" t="s">
        <v>203</v>
      </c>
      <c r="AG366" s="283">
        <v>43.606111111111098</v>
      </c>
      <c r="AH366" s="283">
        <v>302.74194444444402</v>
      </c>
      <c r="AI366" s="283">
        <v>266.18472222222198</v>
      </c>
      <c r="AJ366" s="283">
        <v>254.20805555555501</v>
      </c>
      <c r="AK366" s="283">
        <v>267.56916666666598</v>
      </c>
      <c r="AL366" s="283">
        <v>268.83</v>
      </c>
      <c r="AM366" s="283">
        <v>300.52249999999998</v>
      </c>
      <c r="AN366" s="283">
        <v>297.215555555555</v>
      </c>
      <c r="AO366" s="283">
        <v>249.333611111111</v>
      </c>
      <c r="AP366" s="283">
        <v>203.91333333333299</v>
      </c>
      <c r="AQ366" s="283">
        <v>260.97638888888798</v>
      </c>
      <c r="AR366" s="283">
        <v>310.15861111111099</v>
      </c>
    </row>
    <row r="367" spans="1:44" s="283" customFormat="1" ht="31" customHeight="1" x14ac:dyDescent="0.25">
      <c r="A367" s="292" t="s">
        <v>482</v>
      </c>
      <c r="B367" s="292" t="s">
        <v>203</v>
      </c>
      <c r="AG367" s="283">
        <v>0.37055555555555503</v>
      </c>
      <c r="AH367" s="283">
        <v>3.2513888888888798</v>
      </c>
      <c r="AI367" s="283">
        <v>3.1677777777777698</v>
      </c>
      <c r="AJ367" s="283">
        <v>2.51833333333333</v>
      </c>
      <c r="AK367" s="283">
        <v>4.1555555555555497</v>
      </c>
      <c r="AL367" s="283">
        <v>3.11944444444444</v>
      </c>
      <c r="AM367" s="283">
        <v>3.95583333333333</v>
      </c>
      <c r="AN367" s="283">
        <v>4.94888888888888</v>
      </c>
      <c r="AO367" s="283">
        <v>3.9044444444444402</v>
      </c>
      <c r="AP367" s="283">
        <v>3.70611111111111</v>
      </c>
      <c r="AQ367" s="283">
        <v>4.24166666666666</v>
      </c>
      <c r="AR367" s="283">
        <v>4.0652777777777702</v>
      </c>
    </row>
    <row r="368" spans="1:44" s="283" customFormat="1" ht="31" customHeight="1" x14ac:dyDescent="0.25">
      <c r="A368" s="292" t="s">
        <v>483</v>
      </c>
      <c r="B368" s="292" t="s">
        <v>203</v>
      </c>
      <c r="AG368" s="283">
        <v>0.78361111111111104</v>
      </c>
      <c r="AH368" s="283">
        <v>6.6497222222222199</v>
      </c>
      <c r="AI368" s="283">
        <v>7.5911111111111103</v>
      </c>
      <c r="AJ368" s="283">
        <v>7.9922222222222201</v>
      </c>
      <c r="AK368" s="283">
        <v>7.4591666666666603</v>
      </c>
      <c r="AL368" s="283">
        <v>8.76</v>
      </c>
      <c r="AM368" s="283">
        <v>10.553055555555501</v>
      </c>
      <c r="AN368" s="283">
        <v>10.8725</v>
      </c>
      <c r="AO368" s="283">
        <v>8.7036111111111101</v>
      </c>
      <c r="AP368" s="283">
        <v>9.3663888888888795</v>
      </c>
      <c r="AQ368" s="283">
        <v>9.67638888888888</v>
      </c>
      <c r="AR368" s="283">
        <v>9.5111111111111093</v>
      </c>
    </row>
    <row r="369" spans="1:44" s="283" customFormat="1" ht="31" customHeight="1" x14ac:dyDescent="0.25">
      <c r="A369" s="292" t="s">
        <v>484</v>
      </c>
      <c r="B369" s="292" t="s">
        <v>203</v>
      </c>
      <c r="AG369" s="283">
        <v>0.95361111111111097</v>
      </c>
      <c r="AH369" s="283">
        <v>6.53861111111111</v>
      </c>
      <c r="AI369" s="283">
        <v>7.9822222222222203</v>
      </c>
      <c r="AJ369" s="283">
        <v>6.66222222222222</v>
      </c>
      <c r="AK369" s="283">
        <v>6.2630555555555496</v>
      </c>
      <c r="AL369" s="283">
        <v>9.8188888888888801</v>
      </c>
      <c r="AM369" s="283">
        <v>12.3886111111111</v>
      </c>
      <c r="AN369" s="283">
        <v>9.1502777777777702</v>
      </c>
      <c r="AO369" s="283">
        <v>9.6449999999999996</v>
      </c>
      <c r="AP369" s="283">
        <v>7.6013888888888799</v>
      </c>
      <c r="AQ369" s="283">
        <v>8.7955555555555502</v>
      </c>
      <c r="AR369" s="283">
        <v>9.6719444444444402</v>
      </c>
    </row>
    <row r="370" spans="1:44" s="283" customFormat="1" ht="31" customHeight="1" x14ac:dyDescent="0.25">
      <c r="A370" s="292" t="s">
        <v>485</v>
      </c>
      <c r="B370" s="292" t="s">
        <v>203</v>
      </c>
      <c r="AG370" s="283">
        <v>71.732222222222205</v>
      </c>
      <c r="AH370" s="283">
        <v>482.71749999999997</v>
      </c>
      <c r="AI370" s="283">
        <v>621.74416666666605</v>
      </c>
      <c r="AJ370" s="283">
        <v>401.27222222222201</v>
      </c>
      <c r="AK370" s="283">
        <v>554.48500000000001</v>
      </c>
      <c r="AL370" s="283">
        <v>469.10166666666601</v>
      </c>
      <c r="AM370" s="283">
        <v>373.86611111111102</v>
      </c>
      <c r="AN370" s="283">
        <v>453.02222222222201</v>
      </c>
      <c r="AO370" s="283">
        <v>468.03444444444398</v>
      </c>
      <c r="AP370" s="283">
        <v>374.06833333333299</v>
      </c>
      <c r="AQ370" s="283">
        <v>388.04833333333301</v>
      </c>
      <c r="AR370" s="283">
        <v>406.18666666666599</v>
      </c>
    </row>
    <row r="371" spans="1:44" s="283" customFormat="1" ht="31" customHeight="1" x14ac:dyDescent="0.25">
      <c r="A371" s="292" t="s">
        <v>486</v>
      </c>
      <c r="B371" s="292" t="s">
        <v>203</v>
      </c>
      <c r="AG371" s="283">
        <v>7.8611111111111104E-2</v>
      </c>
      <c r="AH371" s="283">
        <v>0.95722222222222197</v>
      </c>
      <c r="AI371" s="283">
        <v>0.87777777777777699</v>
      </c>
      <c r="AJ371" s="283">
        <v>0.28861111111111099</v>
      </c>
      <c r="AK371" s="283">
        <v>1.0786111111111101</v>
      </c>
      <c r="AL371" s="283">
        <v>0.83</v>
      </c>
      <c r="AM371" s="283">
        <v>1.17166666666666</v>
      </c>
      <c r="AN371" s="283">
        <v>1.50444444444444</v>
      </c>
      <c r="AO371" s="283">
        <v>1.5122222222222199</v>
      </c>
      <c r="AP371" s="283">
        <v>0.756388888888888</v>
      </c>
      <c r="AQ371" s="283">
        <v>1.23583333333333</v>
      </c>
      <c r="AR371" s="283">
        <v>1.3744444444444399</v>
      </c>
    </row>
    <row r="372" spans="1:44" s="283" customFormat="1" ht="31" customHeight="1" x14ac:dyDescent="0.25">
      <c r="A372" s="292" t="s">
        <v>487</v>
      </c>
      <c r="B372" s="292" t="s">
        <v>203</v>
      </c>
      <c r="AG372" s="283">
        <v>0.82138888888888795</v>
      </c>
      <c r="AH372" s="283">
        <v>8.8336111111111109</v>
      </c>
      <c r="AI372" s="283">
        <v>9.1316666666666606</v>
      </c>
      <c r="AJ372" s="283">
        <v>5.4566666666666599</v>
      </c>
      <c r="AK372" s="283">
        <v>9.5544444444444405</v>
      </c>
      <c r="AL372" s="283">
        <v>7.67777777777777</v>
      </c>
      <c r="AM372" s="283">
        <v>10.1425</v>
      </c>
      <c r="AN372" s="283">
        <v>13.9783333333333</v>
      </c>
      <c r="AO372" s="283">
        <v>11.5088888888888</v>
      </c>
      <c r="AP372" s="283">
        <v>8.8025000000000002</v>
      </c>
      <c r="AQ372" s="283">
        <v>16.046666666666599</v>
      </c>
      <c r="AR372" s="283">
        <v>14.1727777777777</v>
      </c>
    </row>
    <row r="373" spans="1:44" s="283" customFormat="1" ht="31" customHeight="1" x14ac:dyDescent="0.25">
      <c r="A373" s="292" t="s">
        <v>488</v>
      </c>
      <c r="B373" s="292" t="s">
        <v>203</v>
      </c>
      <c r="AG373" s="283">
        <v>1.82527777777777</v>
      </c>
      <c r="AH373" s="283">
        <v>17.267777777777699</v>
      </c>
      <c r="AI373" s="283">
        <v>19.9658333333333</v>
      </c>
      <c r="AJ373" s="283">
        <v>14.4516666666666</v>
      </c>
      <c r="AK373" s="283">
        <v>20.961944444444399</v>
      </c>
      <c r="AL373" s="283">
        <v>16.8538888888888</v>
      </c>
      <c r="AM373" s="283">
        <v>28.183888888888799</v>
      </c>
      <c r="AN373" s="283">
        <v>40.806666666666601</v>
      </c>
      <c r="AO373" s="283">
        <v>31.157499999999999</v>
      </c>
      <c r="AP373" s="283">
        <v>26.0888888888888</v>
      </c>
      <c r="AQ373" s="283">
        <v>34.521388888888801</v>
      </c>
      <c r="AR373" s="283">
        <v>34.270555555555497</v>
      </c>
    </row>
    <row r="374" spans="1:44" s="283" customFormat="1" ht="31" customHeight="1" x14ac:dyDescent="0.25">
      <c r="A374" s="292" t="s">
        <v>489</v>
      </c>
      <c r="B374" s="292" t="s">
        <v>203</v>
      </c>
      <c r="AG374" s="283">
        <v>14.1655555555555</v>
      </c>
      <c r="AH374" s="283">
        <v>107.40944444444401</v>
      </c>
      <c r="AI374" s="283">
        <v>128.300833333333</v>
      </c>
      <c r="AJ374" s="283">
        <v>80.385277777777702</v>
      </c>
      <c r="AK374" s="283">
        <v>162.59444444444401</v>
      </c>
      <c r="AL374" s="283">
        <v>116.785</v>
      </c>
      <c r="AM374" s="283">
        <v>343.95527777777698</v>
      </c>
      <c r="AN374" s="283">
        <v>489.18055555555497</v>
      </c>
      <c r="AO374" s="283">
        <v>502.96027777777698</v>
      </c>
      <c r="AP374" s="283">
        <v>419.42500000000001</v>
      </c>
      <c r="AQ374" s="283">
        <v>375.55916666666599</v>
      </c>
      <c r="AR374" s="283">
        <v>463.11916666666599</v>
      </c>
    </row>
    <row r="375" spans="1:44" s="283" customFormat="1" ht="31" customHeight="1" x14ac:dyDescent="0.25">
      <c r="A375" s="292" t="s">
        <v>490</v>
      </c>
      <c r="B375" s="292" t="s">
        <v>203</v>
      </c>
      <c r="AG375" s="283">
        <v>69.643888888888895</v>
      </c>
      <c r="AH375" s="283">
        <v>376.843055555555</v>
      </c>
      <c r="AI375" s="283">
        <v>443.27861111111099</v>
      </c>
      <c r="AJ375" s="283">
        <v>242.71277777777701</v>
      </c>
      <c r="AK375" s="283">
        <v>408.1875</v>
      </c>
      <c r="AL375" s="283">
        <v>338.180833333333</v>
      </c>
      <c r="AM375" s="283">
        <v>335.70499999999998</v>
      </c>
      <c r="AN375" s="283">
        <v>436.83527777777698</v>
      </c>
      <c r="AO375" s="283">
        <v>549.00972222222197</v>
      </c>
      <c r="AP375" s="283">
        <v>419.87194444444401</v>
      </c>
      <c r="AQ375" s="283">
        <v>361.97666666666601</v>
      </c>
      <c r="AR375" s="283">
        <v>341.31083333333299</v>
      </c>
    </row>
    <row r="376" spans="1:44" s="283" customFormat="1" ht="31" customHeight="1" x14ac:dyDescent="0.25">
      <c r="A376" s="292" t="s">
        <v>491</v>
      </c>
      <c r="B376" s="292" t="s">
        <v>203</v>
      </c>
      <c r="AG376" s="283">
        <v>2.3444444444444401</v>
      </c>
      <c r="AH376" s="283">
        <v>11.033611111111099</v>
      </c>
      <c r="AI376" s="283">
        <v>13.1413888888888</v>
      </c>
      <c r="AJ376" s="283">
        <v>9.6583333333333297</v>
      </c>
      <c r="AK376" s="283">
        <v>11.3155555555555</v>
      </c>
      <c r="AL376" s="283">
        <v>11.5688888888888</v>
      </c>
      <c r="AM376" s="283">
        <v>12.695555555555501</v>
      </c>
      <c r="AN376" s="283">
        <v>15.6313888888888</v>
      </c>
      <c r="AO376" s="283">
        <v>15.213055555555499</v>
      </c>
      <c r="AP376" s="283">
        <v>12.6633333333333</v>
      </c>
      <c r="AQ376" s="283">
        <v>12.296388888888799</v>
      </c>
      <c r="AR376" s="283">
        <v>15.6208333333333</v>
      </c>
    </row>
    <row r="377" spans="1:44" s="283" customFormat="1" ht="31" customHeight="1" x14ac:dyDescent="0.25">
      <c r="A377" s="292" t="s">
        <v>492</v>
      </c>
      <c r="B377" s="292" t="s">
        <v>203</v>
      </c>
      <c r="AG377" s="283">
        <v>133.285277777777</v>
      </c>
      <c r="AH377" s="283">
        <v>246.023055555555</v>
      </c>
      <c r="AI377" s="283">
        <v>0.51027777777777705</v>
      </c>
      <c r="AJ377" s="283">
        <v>36.428055555555503</v>
      </c>
      <c r="AK377" s="283">
        <v>9.5330555555555492</v>
      </c>
      <c r="AL377" s="283">
        <v>0</v>
      </c>
      <c r="AM377" s="283">
        <v>3.51416666666666</v>
      </c>
      <c r="AN377" s="283">
        <v>20.7908333333333</v>
      </c>
      <c r="AO377" s="283">
        <v>7.4316666666666604</v>
      </c>
      <c r="AP377" s="283">
        <v>102.36777777777699</v>
      </c>
      <c r="AQ377" s="283">
        <v>1.64777777777777</v>
      </c>
      <c r="AR377" s="283">
        <v>16.654444444444401</v>
      </c>
    </row>
    <row r="378" spans="1:44" s="283" customFormat="1" ht="31" customHeight="1" x14ac:dyDescent="0.25">
      <c r="A378" s="292" t="s">
        <v>493</v>
      </c>
      <c r="B378" s="292" t="s">
        <v>221</v>
      </c>
      <c r="AG378" s="283">
        <v>3857.4</v>
      </c>
      <c r="AH378" s="283">
        <v>28862.5</v>
      </c>
      <c r="AI378" s="283">
        <v>32607.5</v>
      </c>
      <c r="AJ378" s="283">
        <v>23081.55</v>
      </c>
      <c r="AK378" s="283">
        <v>32791.4</v>
      </c>
      <c r="AL378" s="283">
        <v>26835.05</v>
      </c>
      <c r="AM378" s="283">
        <v>32973.35</v>
      </c>
      <c r="AN378" s="283">
        <v>43967.5</v>
      </c>
      <c r="AO378" s="283">
        <v>43468.45</v>
      </c>
      <c r="AP378" s="283">
        <v>35537.9</v>
      </c>
      <c r="AQ378" s="283">
        <v>35599.699999999997</v>
      </c>
      <c r="AR378" s="283">
        <v>41534.800000000003</v>
      </c>
    </row>
    <row r="379" spans="1:44" s="283" customFormat="1" ht="31" customHeight="1" x14ac:dyDescent="0.25">
      <c r="A379" s="292" t="s">
        <v>494</v>
      </c>
      <c r="B379" s="292" t="s">
        <v>221</v>
      </c>
      <c r="AG379" s="283">
        <v>84.6</v>
      </c>
      <c r="AH379" s="283">
        <v>584.1</v>
      </c>
      <c r="AI379" s="283">
        <v>726.3</v>
      </c>
      <c r="AJ379" s="283">
        <v>478.15</v>
      </c>
      <c r="AK379" s="283">
        <v>525.4</v>
      </c>
      <c r="AL379" s="283">
        <v>533.1</v>
      </c>
      <c r="AM379" s="283">
        <v>452.2</v>
      </c>
      <c r="AN379" s="283">
        <v>501.5</v>
      </c>
      <c r="AO379" s="283">
        <v>584.95000000000005</v>
      </c>
      <c r="AP379" s="283">
        <v>365.25</v>
      </c>
      <c r="AQ379" s="283">
        <v>507.35</v>
      </c>
      <c r="AR379" s="283">
        <v>489.05</v>
      </c>
    </row>
    <row r="380" spans="1:44" s="283" customFormat="1" ht="31" customHeight="1" x14ac:dyDescent="0.25">
      <c r="A380" s="292" t="s">
        <v>495</v>
      </c>
      <c r="B380" s="292" t="s">
        <v>221</v>
      </c>
      <c r="AG380" s="283">
        <v>55.5</v>
      </c>
      <c r="AH380" s="283">
        <v>477.65</v>
      </c>
      <c r="AI380" s="283">
        <v>422.05</v>
      </c>
      <c r="AJ380" s="283">
        <v>391.5</v>
      </c>
      <c r="AK380" s="283">
        <v>404.85</v>
      </c>
      <c r="AL380" s="283">
        <v>395.1</v>
      </c>
      <c r="AM380" s="283">
        <v>384</v>
      </c>
      <c r="AN380" s="283">
        <v>511.4</v>
      </c>
      <c r="AO380" s="283">
        <v>516.75</v>
      </c>
      <c r="AP380" s="283">
        <v>411.25</v>
      </c>
      <c r="AQ380" s="283">
        <v>427.55</v>
      </c>
      <c r="AR380" s="283">
        <v>465.05</v>
      </c>
    </row>
    <row r="381" spans="1:44" s="283" customFormat="1" ht="31" customHeight="1" x14ac:dyDescent="0.25">
      <c r="A381" s="292" t="s">
        <v>496</v>
      </c>
      <c r="B381" s="292" t="s">
        <v>221</v>
      </c>
      <c r="AG381" s="283">
        <v>46.15</v>
      </c>
      <c r="AH381" s="283">
        <v>277.14999999999998</v>
      </c>
      <c r="AI381" s="283">
        <v>259.25</v>
      </c>
      <c r="AJ381" s="283">
        <v>361.75</v>
      </c>
      <c r="AK381" s="283">
        <v>259.25</v>
      </c>
      <c r="AL381" s="283">
        <v>321.75</v>
      </c>
      <c r="AM381" s="283">
        <v>387.65</v>
      </c>
      <c r="AN381" s="283">
        <v>352.9</v>
      </c>
      <c r="AO381" s="283">
        <v>364</v>
      </c>
      <c r="AP381" s="283">
        <v>317.85000000000002</v>
      </c>
      <c r="AQ381" s="283">
        <v>309.25</v>
      </c>
      <c r="AR381" s="283">
        <v>320.5</v>
      </c>
    </row>
    <row r="382" spans="1:44" s="283" customFormat="1" ht="31" customHeight="1" x14ac:dyDescent="0.25">
      <c r="A382" s="292" t="s">
        <v>497</v>
      </c>
      <c r="B382" s="292" t="s">
        <v>221</v>
      </c>
      <c r="AG382" s="283">
        <v>24.6</v>
      </c>
      <c r="AH382" s="283">
        <v>178.3</v>
      </c>
      <c r="AI382" s="283">
        <v>175.3</v>
      </c>
      <c r="AJ382" s="283">
        <v>154.05000000000001</v>
      </c>
      <c r="AK382" s="283">
        <v>124.3</v>
      </c>
      <c r="AL382" s="283">
        <v>197.85</v>
      </c>
      <c r="AM382" s="283">
        <v>233.55</v>
      </c>
      <c r="AN382" s="283">
        <v>167.5</v>
      </c>
      <c r="AO382" s="283">
        <v>196.7</v>
      </c>
      <c r="AP382" s="283">
        <v>132.85</v>
      </c>
      <c r="AQ382" s="283">
        <v>147</v>
      </c>
      <c r="AR382" s="283">
        <v>179.25</v>
      </c>
    </row>
    <row r="383" spans="1:44" s="283" customFormat="1" ht="31" customHeight="1" x14ac:dyDescent="0.25">
      <c r="A383" s="292" t="s">
        <v>498</v>
      </c>
      <c r="B383" s="292" t="s">
        <v>221</v>
      </c>
      <c r="AG383" s="283">
        <v>607.54999999999995</v>
      </c>
      <c r="AH383" s="283">
        <v>4291.8500000000004</v>
      </c>
      <c r="AI383" s="283">
        <v>3381.2</v>
      </c>
      <c r="AJ383" s="283">
        <v>3575.65</v>
      </c>
      <c r="AK383" s="283">
        <v>3264.2</v>
      </c>
      <c r="AL383" s="283">
        <v>3116.9</v>
      </c>
      <c r="AM383" s="283">
        <v>2525.8000000000002</v>
      </c>
      <c r="AN383" s="283">
        <v>2117.65</v>
      </c>
      <c r="AO383" s="283">
        <v>2123.1999999999998</v>
      </c>
      <c r="AP383" s="283">
        <v>1649.45</v>
      </c>
      <c r="AQ383" s="283">
        <v>1871.1</v>
      </c>
      <c r="AR383" s="283">
        <v>2391.6999999999998</v>
      </c>
    </row>
    <row r="384" spans="1:44" s="283" customFormat="1" ht="31" customHeight="1" x14ac:dyDescent="0.25">
      <c r="A384" s="292" t="s">
        <v>499</v>
      </c>
      <c r="B384" s="292" t="s">
        <v>221</v>
      </c>
      <c r="AG384" s="283">
        <v>11.35</v>
      </c>
      <c r="AH384" s="283">
        <v>106.65</v>
      </c>
      <c r="AI384" s="283">
        <v>95.9</v>
      </c>
      <c r="AJ384" s="283">
        <v>77.349999999999994</v>
      </c>
      <c r="AK384" s="283">
        <v>127.6</v>
      </c>
      <c r="AL384" s="283">
        <v>94.4</v>
      </c>
      <c r="AM384" s="283">
        <v>105.5</v>
      </c>
      <c r="AN384" s="283">
        <v>132.35</v>
      </c>
      <c r="AO384" s="283">
        <v>105.65</v>
      </c>
      <c r="AP384" s="283">
        <v>97.6</v>
      </c>
      <c r="AQ384" s="283">
        <v>112.2</v>
      </c>
      <c r="AR384" s="283">
        <v>113.35</v>
      </c>
    </row>
    <row r="385" spans="1:44" s="283" customFormat="1" ht="31" customHeight="1" x14ac:dyDescent="0.25">
      <c r="A385" s="292" t="s">
        <v>500</v>
      </c>
      <c r="B385" s="292" t="s">
        <v>221</v>
      </c>
      <c r="AG385" s="283">
        <v>24.8</v>
      </c>
      <c r="AH385" s="283">
        <v>227.1</v>
      </c>
      <c r="AI385" s="283">
        <v>241.35</v>
      </c>
      <c r="AJ385" s="283">
        <v>272.10000000000002</v>
      </c>
      <c r="AK385" s="283">
        <v>239.1</v>
      </c>
      <c r="AL385" s="283">
        <v>275.55</v>
      </c>
      <c r="AM385" s="283">
        <v>287</v>
      </c>
      <c r="AN385" s="283">
        <v>301.64999999999998</v>
      </c>
      <c r="AO385" s="283">
        <v>239.15</v>
      </c>
      <c r="AP385" s="283">
        <v>257.25</v>
      </c>
      <c r="AQ385" s="283">
        <v>266.2</v>
      </c>
      <c r="AR385" s="283">
        <v>271.3</v>
      </c>
    </row>
    <row r="386" spans="1:44" s="283" customFormat="1" ht="31" customHeight="1" x14ac:dyDescent="0.25">
      <c r="A386" s="292" t="s">
        <v>501</v>
      </c>
      <c r="B386" s="292" t="s">
        <v>221</v>
      </c>
      <c r="AG386" s="283">
        <v>30.15</v>
      </c>
      <c r="AH386" s="283">
        <v>216.95</v>
      </c>
      <c r="AI386" s="283">
        <v>251.75</v>
      </c>
      <c r="AJ386" s="283">
        <v>227.3</v>
      </c>
      <c r="AK386" s="283">
        <v>200.85</v>
      </c>
      <c r="AL386" s="283">
        <v>312.85000000000002</v>
      </c>
      <c r="AM386" s="283">
        <v>340.05</v>
      </c>
      <c r="AN386" s="283">
        <v>255.75</v>
      </c>
      <c r="AO386" s="283">
        <v>263.7</v>
      </c>
      <c r="AP386" s="283">
        <v>211.65</v>
      </c>
      <c r="AQ386" s="283">
        <v>244.75</v>
      </c>
      <c r="AR386" s="283">
        <v>274.7</v>
      </c>
    </row>
    <row r="387" spans="1:44" s="283" customFormat="1" ht="31" customHeight="1" x14ac:dyDescent="0.25">
      <c r="A387" s="292" t="s">
        <v>502</v>
      </c>
      <c r="B387" s="292" t="s">
        <v>221</v>
      </c>
      <c r="AG387" s="283">
        <v>2068.9</v>
      </c>
      <c r="AH387" s="283">
        <v>14726.5</v>
      </c>
      <c r="AI387" s="283">
        <v>18088.45</v>
      </c>
      <c r="AJ387" s="283">
        <v>11865.05</v>
      </c>
      <c r="AK387" s="283">
        <v>16537.2</v>
      </c>
      <c r="AL387" s="283">
        <v>13852.15</v>
      </c>
      <c r="AM387" s="283">
        <v>10192.9</v>
      </c>
      <c r="AN387" s="283">
        <v>12518.55</v>
      </c>
      <c r="AO387" s="283">
        <v>12739.6</v>
      </c>
      <c r="AP387" s="283">
        <v>10220.85</v>
      </c>
      <c r="AQ387" s="283">
        <v>10704.95</v>
      </c>
      <c r="AR387" s="283">
        <v>11534.9</v>
      </c>
    </row>
    <row r="388" spans="1:44" s="283" customFormat="1" ht="31" customHeight="1" x14ac:dyDescent="0.25">
      <c r="A388" s="292" t="s">
        <v>503</v>
      </c>
      <c r="B388" s="292" t="s">
        <v>221</v>
      </c>
      <c r="AG388" s="283">
        <v>4.25</v>
      </c>
      <c r="AH388" s="283">
        <v>58.85</v>
      </c>
      <c r="AI388" s="283">
        <v>49.9</v>
      </c>
      <c r="AJ388" s="283">
        <v>14.9</v>
      </c>
      <c r="AK388" s="283">
        <v>59.6</v>
      </c>
      <c r="AL388" s="283">
        <v>45.6</v>
      </c>
      <c r="AM388" s="283">
        <v>55.7</v>
      </c>
      <c r="AN388" s="283">
        <v>70.150000000000006</v>
      </c>
      <c r="AO388" s="283">
        <v>74.400000000000006</v>
      </c>
      <c r="AP388" s="283">
        <v>32.799999999999997</v>
      </c>
      <c r="AQ388" s="283">
        <v>58.3</v>
      </c>
      <c r="AR388" s="283">
        <v>69.25</v>
      </c>
    </row>
    <row r="389" spans="1:44" s="283" customFormat="1" ht="31" customHeight="1" x14ac:dyDescent="0.25">
      <c r="A389" s="292" t="s">
        <v>504</v>
      </c>
      <c r="B389" s="292" t="s">
        <v>221</v>
      </c>
      <c r="AG389" s="283">
        <v>48.8</v>
      </c>
      <c r="AH389" s="283">
        <v>574.15</v>
      </c>
      <c r="AI389" s="283">
        <v>564.79999999999995</v>
      </c>
      <c r="AJ389" s="283">
        <v>309.39999999999998</v>
      </c>
      <c r="AK389" s="283">
        <v>600.15</v>
      </c>
      <c r="AL389" s="283">
        <v>442.35</v>
      </c>
      <c r="AM389" s="283">
        <v>540.45000000000005</v>
      </c>
      <c r="AN389" s="283">
        <v>765.3</v>
      </c>
      <c r="AO389" s="283">
        <v>649.54999999999995</v>
      </c>
      <c r="AP389" s="283">
        <v>445.75</v>
      </c>
      <c r="AQ389" s="283">
        <v>912.6</v>
      </c>
      <c r="AR389" s="283">
        <v>810.65</v>
      </c>
    </row>
    <row r="390" spans="1:44" s="283" customFormat="1" ht="31" customHeight="1" x14ac:dyDescent="0.25">
      <c r="A390" s="292" t="s">
        <v>505</v>
      </c>
      <c r="B390" s="292" t="s">
        <v>221</v>
      </c>
      <c r="AG390" s="283">
        <v>109.65</v>
      </c>
      <c r="AH390" s="283">
        <v>1133.7</v>
      </c>
      <c r="AI390" s="283">
        <v>1278.7</v>
      </c>
      <c r="AJ390" s="283">
        <v>899.95</v>
      </c>
      <c r="AK390" s="283">
        <v>1390.3</v>
      </c>
      <c r="AL390" s="283">
        <v>997.95</v>
      </c>
      <c r="AM390" s="283">
        <v>1582</v>
      </c>
      <c r="AN390" s="283">
        <v>2442.6</v>
      </c>
      <c r="AO390" s="283">
        <v>1856.45</v>
      </c>
      <c r="AP390" s="283">
        <v>1507.95</v>
      </c>
      <c r="AQ390" s="283">
        <v>2050.65</v>
      </c>
      <c r="AR390" s="283">
        <v>2059.35</v>
      </c>
    </row>
    <row r="391" spans="1:44" s="283" customFormat="1" ht="31" customHeight="1" x14ac:dyDescent="0.25">
      <c r="A391" s="292" t="s">
        <v>506</v>
      </c>
      <c r="B391" s="292" t="s">
        <v>221</v>
      </c>
      <c r="AG391" s="283">
        <v>740.8</v>
      </c>
      <c r="AH391" s="283">
        <v>6009.2</v>
      </c>
      <c r="AI391" s="283">
        <v>7072.3</v>
      </c>
      <c r="AJ391" s="283">
        <v>4454.1499999999996</v>
      </c>
      <c r="AK391" s="283">
        <v>9058.2999999999993</v>
      </c>
      <c r="AL391" s="283">
        <v>6249.2</v>
      </c>
      <c r="AM391" s="283">
        <v>15886.3</v>
      </c>
      <c r="AN391" s="283">
        <v>23829.85</v>
      </c>
      <c r="AO391" s="283">
        <v>23754</v>
      </c>
      <c r="AP391" s="283">
        <v>19887</v>
      </c>
      <c r="AQ391" s="283">
        <v>17987.5</v>
      </c>
      <c r="AR391" s="283">
        <v>22555.4</v>
      </c>
    </row>
    <row r="392" spans="1:44" s="283" customFormat="1" ht="31" customHeight="1" x14ac:dyDescent="0.25">
      <c r="A392" s="292" t="s">
        <v>507</v>
      </c>
      <c r="B392" s="292" t="s">
        <v>221</v>
      </c>
      <c r="AG392" s="283">
        <v>2165.1999999999998</v>
      </c>
      <c r="AH392" s="283">
        <v>11882</v>
      </c>
      <c r="AI392" s="283">
        <v>13807.05</v>
      </c>
      <c r="AJ392" s="283">
        <v>7776.3</v>
      </c>
      <c r="AK392" s="283">
        <v>13506.35</v>
      </c>
      <c r="AL392" s="283">
        <v>10901.45</v>
      </c>
      <c r="AM392" s="283">
        <v>12041.9</v>
      </c>
      <c r="AN392" s="283">
        <v>17083.849999999999</v>
      </c>
      <c r="AO392" s="283">
        <v>20786.3</v>
      </c>
      <c r="AP392" s="283">
        <v>16139.8</v>
      </c>
      <c r="AQ392" s="283">
        <v>13579.45</v>
      </c>
      <c r="AR392" s="283">
        <v>12674.15</v>
      </c>
    </row>
    <row r="393" spans="1:44" s="283" customFormat="1" ht="31" customHeight="1" x14ac:dyDescent="0.25">
      <c r="A393" s="292" t="s">
        <v>508</v>
      </c>
      <c r="B393" s="292" t="s">
        <v>221</v>
      </c>
      <c r="AG393" s="283">
        <v>73.95</v>
      </c>
      <c r="AH393" s="283">
        <v>316.7</v>
      </c>
      <c r="AI393" s="283">
        <v>396.1</v>
      </c>
      <c r="AJ393" s="283">
        <v>278.75</v>
      </c>
      <c r="AK393" s="283">
        <v>355.55</v>
      </c>
      <c r="AL393" s="283">
        <v>341.25</v>
      </c>
      <c r="AM393" s="283">
        <v>391.15</v>
      </c>
      <c r="AN393" s="283">
        <v>489.1</v>
      </c>
      <c r="AO393" s="283">
        <v>473.4</v>
      </c>
      <c r="AP393" s="283">
        <v>383.5</v>
      </c>
      <c r="AQ393" s="283">
        <v>351.9</v>
      </c>
      <c r="AR393" s="283">
        <v>506.7</v>
      </c>
    </row>
    <row r="394" spans="1:44" s="283" customFormat="1" ht="31" customHeight="1" x14ac:dyDescent="0.25">
      <c r="A394" s="292" t="s">
        <v>509</v>
      </c>
      <c r="B394" s="292" t="s">
        <v>221</v>
      </c>
      <c r="AG394" s="283">
        <v>2117.5</v>
      </c>
      <c r="AH394" s="283">
        <v>5329.5</v>
      </c>
      <c r="AI394" s="283">
        <v>1.4</v>
      </c>
      <c r="AJ394" s="283">
        <v>706.15</v>
      </c>
      <c r="AK394" s="283">
        <v>247.3</v>
      </c>
      <c r="AL394" s="283">
        <v>0</v>
      </c>
      <c r="AM394" s="283">
        <v>14.05</v>
      </c>
      <c r="AN394" s="283">
        <v>482.7</v>
      </c>
      <c r="AO394" s="283">
        <v>175.95</v>
      </c>
      <c r="AP394" s="283">
        <v>2927.5</v>
      </c>
      <c r="AQ394" s="283">
        <v>17.3</v>
      </c>
      <c r="AR394" s="283">
        <v>342.85</v>
      </c>
    </row>
    <row r="395" spans="1:44" hidden="1" x14ac:dyDescent="0.25">
      <c r="A395" s="293"/>
      <c r="B395" s="294"/>
    </row>
  </sheetData>
  <sheetProtection algorithmName="SHA-512" hashValue="W/HJdu+5oOeOoMWuL7yu92k356V7UfStm71aHewvdAdeAjloIhqnMdLrLOVhwyAMpQ/OiUF9n3Ddi0Mo9uQRew==" saltValue="Rr0y/18ibc1oP2O9DH8eFQ==" spinCount="100000" sheet="1" objects="1" scenarios="1"/>
  <mergeCells count="6">
    <mergeCell ref="A2:B2"/>
    <mergeCell ref="A1:B1"/>
    <mergeCell ref="A5:B5"/>
    <mergeCell ref="A6:B6"/>
    <mergeCell ref="A3:B3"/>
    <mergeCell ref="A4:B4"/>
  </mergeCells>
  <pageMargins left="0.7" right="0.7" top="0.75" bottom="0.75" header="0.3" footer="0.3"/>
  <pageSetup orientation="portrait" r:id="rId1"/>
  <ignoredErrors>
    <ignoredError sqref="U8:AF18 R8:T18 C8:Q1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BD66-D40A-4057-ABB4-5C74B8ABEB51}">
  <dimension ref="A1:AF127"/>
  <sheetViews>
    <sheetView showGridLines="0" zoomScale="80" zoomScaleNormal="80" workbookViewId="0">
      <pane xSplit="2" topLeftCell="C1" activePane="topRight" state="frozen"/>
      <selection activeCell="A4" sqref="A4"/>
      <selection pane="topRight" sqref="A1:B1"/>
    </sheetView>
  </sheetViews>
  <sheetFormatPr defaultColWidth="0" defaultRowHeight="15.5" zeroHeight="1" x14ac:dyDescent="0.35"/>
  <cols>
    <col min="1" max="1" width="70.7265625" style="8" customWidth="1"/>
    <col min="2" max="2" width="13.7265625" style="8" customWidth="1"/>
    <col min="3" max="32" width="15.7265625" style="8" customWidth="1"/>
    <col min="33" max="16384" width="8.7265625" style="8" hidden="1"/>
  </cols>
  <sheetData>
    <row r="1" spans="1:32" ht="63" customHeight="1" x14ac:dyDescent="0.35">
      <c r="A1" s="183" t="s">
        <v>944</v>
      </c>
      <c r="B1" s="183"/>
    </row>
    <row r="2" spans="1:32" s="182" customFormat="1" ht="30" customHeight="1" thickBot="1" x14ac:dyDescent="0.45">
      <c r="A2" s="184" t="s">
        <v>510</v>
      </c>
      <c r="B2" s="173"/>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1:32" s="58" customFormat="1" ht="31" customHeight="1" thickTop="1" x14ac:dyDescent="0.25">
      <c r="A3" s="185" t="s">
        <v>1</v>
      </c>
      <c r="B3" s="186"/>
      <c r="C3" s="66">
        <v>1</v>
      </c>
      <c r="D3" s="66">
        <v>2</v>
      </c>
      <c r="E3" s="66">
        <v>3</v>
      </c>
      <c r="F3" s="66">
        <v>4</v>
      </c>
      <c r="G3" s="66">
        <v>5</v>
      </c>
      <c r="H3" s="66">
        <v>6</v>
      </c>
      <c r="I3" s="66">
        <v>7</v>
      </c>
      <c r="J3" s="66">
        <v>8</v>
      </c>
      <c r="K3" s="66">
        <v>9</v>
      </c>
      <c r="L3" s="66">
        <v>10</v>
      </c>
      <c r="M3" s="66">
        <v>11</v>
      </c>
      <c r="N3" s="66">
        <v>12</v>
      </c>
      <c r="O3" s="66">
        <v>13</v>
      </c>
      <c r="P3" s="66">
        <v>14</v>
      </c>
      <c r="Q3" s="66">
        <v>15</v>
      </c>
      <c r="R3" s="66">
        <v>16</v>
      </c>
      <c r="S3" s="66">
        <v>17</v>
      </c>
      <c r="T3" s="66">
        <v>18</v>
      </c>
      <c r="U3" s="66">
        <v>19</v>
      </c>
      <c r="V3" s="66">
        <v>20</v>
      </c>
      <c r="W3" s="66">
        <v>21</v>
      </c>
      <c r="X3" s="66">
        <v>22</v>
      </c>
      <c r="Y3" s="66">
        <v>23</v>
      </c>
      <c r="Z3" s="66">
        <v>24</v>
      </c>
      <c r="AA3" s="66">
        <v>25</v>
      </c>
      <c r="AB3" s="66">
        <v>26</v>
      </c>
      <c r="AC3" s="66">
        <v>27</v>
      </c>
      <c r="AD3" s="66">
        <v>28</v>
      </c>
      <c r="AE3" s="66">
        <v>29</v>
      </c>
      <c r="AF3" s="66">
        <v>30</v>
      </c>
    </row>
    <row r="4" spans="1:32" s="27" customFormat="1" ht="31" customHeight="1" x14ac:dyDescent="0.35">
      <c r="A4" s="175" t="s">
        <v>8</v>
      </c>
      <c r="B4" s="177"/>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27" customFormat="1" ht="31" customHeight="1" x14ac:dyDescent="0.35">
      <c r="A5" s="175" t="s">
        <v>9</v>
      </c>
      <c r="B5" s="177"/>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row>
    <row r="6" spans="1:32" s="27" customFormat="1" ht="31" customHeight="1" x14ac:dyDescent="0.35">
      <c r="A6" s="175" t="s">
        <v>10</v>
      </c>
      <c r="B6" s="177"/>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s="63" customFormat="1" ht="31" customHeight="1" x14ac:dyDescent="0.25">
      <c r="A7" s="59" t="s">
        <v>510</v>
      </c>
      <c r="B7" s="62" t="s">
        <v>119</v>
      </c>
    </row>
    <row r="8" spans="1:32" s="66" customFormat="1" ht="31" customHeight="1" x14ac:dyDescent="0.25">
      <c r="A8" s="133" t="s">
        <v>511</v>
      </c>
      <c r="B8" s="133" t="s">
        <v>512</v>
      </c>
    </row>
    <row r="9" spans="1:32" s="66" customFormat="1" ht="31" customHeight="1" x14ac:dyDescent="0.25">
      <c r="A9" s="133" t="s">
        <v>513</v>
      </c>
      <c r="B9" s="133" t="s">
        <v>512</v>
      </c>
    </row>
    <row r="10" spans="1:32" s="66" customFormat="1" ht="31" customHeight="1" x14ac:dyDescent="0.25">
      <c r="A10" s="133" t="s">
        <v>514</v>
      </c>
      <c r="B10" s="133" t="s">
        <v>185</v>
      </c>
    </row>
    <row r="11" spans="1:32" s="66" customFormat="1" ht="31" customHeight="1" x14ac:dyDescent="0.25">
      <c r="A11" s="133" t="s">
        <v>515</v>
      </c>
      <c r="B11" s="133" t="s">
        <v>221</v>
      </c>
    </row>
    <row r="12" spans="1:32" s="66" customFormat="1" ht="31" customHeight="1" x14ac:dyDescent="0.25">
      <c r="A12" s="133" t="s">
        <v>516</v>
      </c>
      <c r="B12" s="133" t="s">
        <v>517</v>
      </c>
    </row>
    <row r="13" spans="1:32" s="66" customFormat="1" ht="31" customHeight="1" x14ac:dyDescent="0.25">
      <c r="A13" s="133" t="s">
        <v>518</v>
      </c>
      <c r="B13" s="133" t="s">
        <v>167</v>
      </c>
    </row>
    <row r="14" spans="1:32" s="66" customFormat="1" ht="31" customHeight="1" x14ac:dyDescent="0.25">
      <c r="A14" s="133" t="s">
        <v>519</v>
      </c>
      <c r="B14" s="133" t="s">
        <v>512</v>
      </c>
    </row>
    <row r="15" spans="1:32" s="66" customFormat="1" ht="31" customHeight="1" x14ac:dyDescent="0.25">
      <c r="A15" s="133" t="s">
        <v>520</v>
      </c>
      <c r="B15" s="133" t="s">
        <v>512</v>
      </c>
    </row>
    <row r="16" spans="1:32" s="66" customFormat="1" ht="31" customHeight="1" x14ac:dyDescent="0.25">
      <c r="A16" s="133" t="s">
        <v>521</v>
      </c>
      <c r="B16" s="133" t="s">
        <v>512</v>
      </c>
    </row>
    <row r="17" spans="1:32" s="66" customFormat="1" ht="31" customHeight="1" x14ac:dyDescent="0.25">
      <c r="A17" s="133" t="s">
        <v>522</v>
      </c>
      <c r="B17" s="133" t="s">
        <v>512</v>
      </c>
    </row>
    <row r="18" spans="1:32" s="66" customFormat="1" ht="31" customHeight="1" x14ac:dyDescent="0.25">
      <c r="A18" s="133" t="s">
        <v>523</v>
      </c>
      <c r="B18" s="133" t="s">
        <v>512</v>
      </c>
    </row>
    <row r="19" spans="1:32" s="66" customFormat="1" ht="31" customHeight="1" x14ac:dyDescent="0.25">
      <c r="A19" s="133" t="s">
        <v>524</v>
      </c>
      <c r="B19" s="133" t="s">
        <v>185</v>
      </c>
    </row>
    <row r="20" spans="1:32" s="66" customFormat="1" ht="31" customHeight="1" x14ac:dyDescent="0.25">
      <c r="A20" s="133" t="s">
        <v>525</v>
      </c>
      <c r="B20" s="133" t="s">
        <v>221</v>
      </c>
    </row>
    <row r="21" spans="1:32" s="66" customFormat="1" ht="31" customHeight="1" x14ac:dyDescent="0.25">
      <c r="A21" s="133" t="s">
        <v>526</v>
      </c>
      <c r="B21" s="133" t="s">
        <v>517</v>
      </c>
    </row>
    <row r="22" spans="1:32" s="66" customFormat="1" ht="31" customHeight="1" x14ac:dyDescent="0.25">
      <c r="A22" s="133" t="s">
        <v>527</v>
      </c>
      <c r="B22" s="133" t="s">
        <v>167</v>
      </c>
    </row>
    <row r="23" spans="1:32" s="66" customFormat="1" ht="31" customHeight="1" x14ac:dyDescent="0.25">
      <c r="A23" s="133" t="s">
        <v>528</v>
      </c>
      <c r="B23" s="133" t="s">
        <v>512</v>
      </c>
    </row>
    <row r="24" spans="1:32" s="66" customFormat="1" ht="31" customHeight="1" x14ac:dyDescent="0.25">
      <c r="A24" s="133" t="s">
        <v>529</v>
      </c>
      <c r="B24" s="133" t="s">
        <v>512</v>
      </c>
    </row>
    <row r="25" spans="1:32" s="66" customFormat="1" ht="31" customHeight="1" x14ac:dyDescent="0.25">
      <c r="A25" s="133" t="s">
        <v>530</v>
      </c>
      <c r="B25" s="133" t="s">
        <v>512</v>
      </c>
    </row>
    <row r="26" spans="1:32" s="134" customFormat="1" ht="31" customHeight="1" x14ac:dyDescent="0.25">
      <c r="A26" s="59" t="s">
        <v>531</v>
      </c>
      <c r="B26" s="62" t="s">
        <v>119</v>
      </c>
    </row>
    <row r="27" spans="1:32" s="135" customFormat="1" ht="31" customHeight="1" x14ac:dyDescent="0.25">
      <c r="A27" s="133" t="s">
        <v>532</v>
      </c>
      <c r="B27" s="133" t="s">
        <v>185</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1:32" s="66" customFormat="1" ht="31" customHeight="1" x14ac:dyDescent="0.25">
      <c r="A28" s="133" t="s">
        <v>533</v>
      </c>
      <c r="B28" s="133" t="s">
        <v>185</v>
      </c>
    </row>
    <row r="29" spans="1:32" s="66" customFormat="1" ht="31" customHeight="1" x14ac:dyDescent="0.25">
      <c r="A29" s="133" t="s">
        <v>534</v>
      </c>
      <c r="B29" s="133" t="s">
        <v>185</v>
      </c>
    </row>
    <row r="30" spans="1:32" s="135" customFormat="1" ht="31" customHeight="1" x14ac:dyDescent="0.25">
      <c r="A30" s="133" t="s">
        <v>535</v>
      </c>
      <c r="B30" s="133" t="s">
        <v>221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row r="31" spans="1:32" s="66" customFormat="1" ht="31" customHeight="1" x14ac:dyDescent="0.25">
      <c r="A31" s="133" t="s">
        <v>536</v>
      </c>
      <c r="B31" s="133" t="s">
        <v>221</v>
      </c>
    </row>
    <row r="32" spans="1:32" s="135" customFormat="1" ht="31" customHeight="1" x14ac:dyDescent="0.25">
      <c r="A32" s="133" t="s">
        <v>537</v>
      </c>
      <c r="B32" s="133" t="s">
        <v>167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row>
    <row r="33" spans="1:32" s="135" customFormat="1" ht="31" customHeight="1" x14ac:dyDescent="0.25">
      <c r="A33" s="133" t="s">
        <v>538</v>
      </c>
      <c r="B33" s="133" t="s">
        <v>167</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row>
    <row r="34" spans="1:32" s="135" customFormat="1" ht="31" customHeight="1" x14ac:dyDescent="0.25">
      <c r="A34" s="133" t="s">
        <v>539</v>
      </c>
      <c r="B34" s="133" t="s">
        <v>167</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row>
    <row r="35" spans="1:32" s="135" customFormat="1" ht="31" customHeight="1" x14ac:dyDescent="0.25">
      <c r="A35" s="133" t="s">
        <v>540</v>
      </c>
      <c r="B35" s="133" t="s">
        <v>185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row>
    <row r="36" spans="1:32" s="135" customFormat="1" ht="31" customHeight="1" x14ac:dyDescent="0.25">
      <c r="A36" s="133" t="s">
        <v>541</v>
      </c>
      <c r="B36" s="133" t="s">
        <v>185</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row>
    <row r="37" spans="1:32" s="135" customFormat="1" ht="31" customHeight="1" x14ac:dyDescent="0.25">
      <c r="A37" s="133" t="s">
        <v>542</v>
      </c>
      <c r="B37" s="133" t="s">
        <v>185</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row>
    <row r="38" spans="1:32" s="135" customFormat="1" ht="31" customHeight="1" x14ac:dyDescent="0.25">
      <c r="A38" s="133" t="s">
        <v>543</v>
      </c>
      <c r="B38" s="133" t="s">
        <v>221</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1:32" s="135" customFormat="1" ht="31" customHeight="1" x14ac:dyDescent="0.25">
      <c r="A39" s="133" t="s">
        <v>544</v>
      </c>
      <c r="B39" s="133" t="s">
        <v>221</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row>
    <row r="40" spans="1:32" s="135" customFormat="1" ht="31" customHeight="1" x14ac:dyDescent="0.25">
      <c r="A40" s="133" t="s">
        <v>545</v>
      </c>
      <c r="B40" s="133" t="s">
        <v>167</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row>
    <row r="41" spans="1:32" s="135" customFormat="1" ht="31" customHeight="1" x14ac:dyDescent="0.25">
      <c r="A41" s="133" t="s">
        <v>546</v>
      </c>
      <c r="B41" s="133" t="s">
        <v>167</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1:32" s="66" customFormat="1" ht="31" customHeight="1" x14ac:dyDescent="0.25">
      <c r="A42" s="133" t="s">
        <v>547</v>
      </c>
      <c r="B42" s="133" t="s">
        <v>167</v>
      </c>
    </row>
    <row r="43" spans="1:32" s="63" customFormat="1" ht="31" customHeight="1" x14ac:dyDescent="0.25">
      <c r="A43" s="59" t="s">
        <v>548</v>
      </c>
      <c r="B43" s="62" t="s">
        <v>119</v>
      </c>
    </row>
    <row r="44" spans="1:32" s="27" customFormat="1" ht="31" customHeight="1" x14ac:dyDescent="0.35">
      <c r="A44" s="64" t="s">
        <v>549</v>
      </c>
    </row>
    <row r="45" spans="1:32" s="66" customFormat="1" ht="31" customHeight="1" x14ac:dyDescent="0.25">
      <c r="A45" s="133" t="s">
        <v>550</v>
      </c>
      <c r="B45" s="133" t="s">
        <v>512</v>
      </c>
    </row>
    <row r="46" spans="1:32" s="66" customFormat="1" ht="31" customHeight="1" x14ac:dyDescent="0.25">
      <c r="A46" s="133" t="s">
        <v>551</v>
      </c>
      <c r="B46" s="133" t="s">
        <v>512</v>
      </c>
    </row>
    <row r="47" spans="1:32" s="66" customFormat="1" ht="31" customHeight="1" x14ac:dyDescent="0.25">
      <c r="A47" s="133" t="s">
        <v>552</v>
      </c>
      <c r="B47" s="133" t="s">
        <v>512</v>
      </c>
    </row>
    <row r="48" spans="1:32" s="66" customFormat="1" ht="31" customHeight="1" x14ac:dyDescent="0.25">
      <c r="A48" s="133" t="s">
        <v>553</v>
      </c>
      <c r="B48" s="133" t="s">
        <v>512</v>
      </c>
    </row>
    <row r="49" spans="1:2" s="66" customFormat="1" ht="31" customHeight="1" x14ac:dyDescent="0.25">
      <c r="A49" s="133" t="s">
        <v>554</v>
      </c>
      <c r="B49" s="133" t="s">
        <v>512</v>
      </c>
    </row>
    <row r="50" spans="1:2" s="66" customFormat="1" ht="31" customHeight="1" x14ac:dyDescent="0.25">
      <c r="A50" s="133" t="s">
        <v>555</v>
      </c>
      <c r="B50" s="133" t="s">
        <v>512</v>
      </c>
    </row>
    <row r="51" spans="1:2" s="66" customFormat="1" ht="31" customHeight="1" x14ac:dyDescent="0.25">
      <c r="A51" s="133" t="s">
        <v>556</v>
      </c>
      <c r="B51" s="133" t="s">
        <v>512</v>
      </c>
    </row>
    <row r="52" spans="1:2" s="66" customFormat="1" ht="31" customHeight="1" x14ac:dyDescent="0.25">
      <c r="A52" s="133" t="s">
        <v>557</v>
      </c>
      <c r="B52" s="133" t="s">
        <v>512</v>
      </c>
    </row>
    <row r="53" spans="1:2" s="66" customFormat="1" ht="31" customHeight="1" x14ac:dyDescent="0.35">
      <c r="A53" s="137" t="s">
        <v>558</v>
      </c>
    </row>
    <row r="54" spans="1:2" s="66" customFormat="1" ht="31" customHeight="1" x14ac:dyDescent="0.25">
      <c r="A54" s="133" t="s">
        <v>559</v>
      </c>
      <c r="B54" s="133" t="s">
        <v>512</v>
      </c>
    </row>
    <row r="55" spans="1:2" s="66" customFormat="1" ht="31" customHeight="1" x14ac:dyDescent="0.25">
      <c r="A55" s="133" t="s">
        <v>560</v>
      </c>
      <c r="B55" s="133" t="s">
        <v>512</v>
      </c>
    </row>
    <row r="56" spans="1:2" s="66" customFormat="1" ht="31" customHeight="1" x14ac:dyDescent="0.25">
      <c r="A56" s="133" t="s">
        <v>561</v>
      </c>
      <c r="B56" s="133" t="s">
        <v>512</v>
      </c>
    </row>
    <row r="57" spans="1:2" s="66" customFormat="1" ht="31" customHeight="1" x14ac:dyDescent="0.25">
      <c r="A57" s="133" t="s">
        <v>562</v>
      </c>
      <c r="B57" s="133" t="s">
        <v>512</v>
      </c>
    </row>
    <row r="58" spans="1:2" s="66" customFormat="1" ht="31" customHeight="1" x14ac:dyDescent="0.35">
      <c r="A58" s="137" t="s">
        <v>563</v>
      </c>
      <c r="B58" s="133"/>
    </row>
    <row r="59" spans="1:2" s="66" customFormat="1" ht="31" customHeight="1" x14ac:dyDescent="0.25">
      <c r="A59" s="133" t="s">
        <v>564</v>
      </c>
      <c r="B59" s="133" t="s">
        <v>512</v>
      </c>
    </row>
    <row r="60" spans="1:2" s="66" customFormat="1" ht="31" customHeight="1" x14ac:dyDescent="0.25">
      <c r="A60" s="133" t="s">
        <v>565</v>
      </c>
      <c r="B60" s="133" t="s">
        <v>512</v>
      </c>
    </row>
    <row r="61" spans="1:2" s="66" customFormat="1" ht="31" customHeight="1" x14ac:dyDescent="0.25">
      <c r="A61" s="133" t="s">
        <v>566</v>
      </c>
      <c r="B61" s="133" t="s">
        <v>512</v>
      </c>
    </row>
    <row r="62" spans="1:2" s="66" customFormat="1" ht="31" customHeight="1" x14ac:dyDescent="0.25">
      <c r="A62" s="133" t="s">
        <v>567</v>
      </c>
      <c r="B62" s="133" t="s">
        <v>512</v>
      </c>
    </row>
    <row r="63" spans="1:2" s="66" customFormat="1" ht="31" customHeight="1" x14ac:dyDescent="0.25">
      <c r="A63" s="133" t="s">
        <v>568</v>
      </c>
      <c r="B63" s="133" t="s">
        <v>512</v>
      </c>
    </row>
    <row r="64" spans="1:2" s="66" customFormat="1" ht="31" customHeight="1" x14ac:dyDescent="0.25">
      <c r="A64" s="133" t="s">
        <v>569</v>
      </c>
      <c r="B64" s="133" t="s">
        <v>512</v>
      </c>
    </row>
    <row r="65" spans="1:2" s="66" customFormat="1" ht="31" customHeight="1" x14ac:dyDescent="0.25">
      <c r="A65" s="133" t="s">
        <v>570</v>
      </c>
      <c r="B65" s="133" t="s">
        <v>512</v>
      </c>
    </row>
    <row r="66" spans="1:2" s="66" customFormat="1" ht="31" customHeight="1" x14ac:dyDescent="0.25">
      <c r="A66" s="133" t="s">
        <v>571</v>
      </c>
      <c r="B66" s="133" t="s">
        <v>512</v>
      </c>
    </row>
    <row r="67" spans="1:2" s="66" customFormat="1" ht="31" customHeight="1" x14ac:dyDescent="0.35">
      <c r="A67" s="137" t="s">
        <v>572</v>
      </c>
      <c r="B67" s="133"/>
    </row>
    <row r="68" spans="1:2" s="66" customFormat="1" ht="31" customHeight="1" x14ac:dyDescent="0.25">
      <c r="A68" s="133" t="s">
        <v>573</v>
      </c>
      <c r="B68" s="133" t="s">
        <v>512</v>
      </c>
    </row>
    <row r="69" spans="1:2" s="66" customFormat="1" ht="31" customHeight="1" x14ac:dyDescent="0.25">
      <c r="A69" s="133" t="s">
        <v>574</v>
      </c>
      <c r="B69" s="133" t="s">
        <v>512</v>
      </c>
    </row>
    <row r="70" spans="1:2" s="66" customFormat="1" ht="31" customHeight="1" x14ac:dyDescent="0.25">
      <c r="A70" s="133" t="s">
        <v>575</v>
      </c>
      <c r="B70" s="133" t="s">
        <v>512</v>
      </c>
    </row>
    <row r="71" spans="1:2" s="66" customFormat="1" ht="31" customHeight="1" x14ac:dyDescent="0.25">
      <c r="A71" s="133" t="s">
        <v>576</v>
      </c>
      <c r="B71" s="133" t="s">
        <v>512</v>
      </c>
    </row>
    <row r="72" spans="1:2" s="66" customFormat="1" ht="31" customHeight="1" x14ac:dyDescent="0.25">
      <c r="A72" s="133" t="s">
        <v>577</v>
      </c>
      <c r="B72" s="133" t="s">
        <v>512</v>
      </c>
    </row>
    <row r="73" spans="1:2" s="66" customFormat="1" ht="31" customHeight="1" x14ac:dyDescent="0.25">
      <c r="A73" s="133" t="s">
        <v>578</v>
      </c>
      <c r="B73" s="133" t="s">
        <v>512</v>
      </c>
    </row>
    <row r="74" spans="1:2" s="66" customFormat="1" ht="31" customHeight="1" x14ac:dyDescent="0.25">
      <c r="A74" s="133" t="s">
        <v>579</v>
      </c>
      <c r="B74" s="133" t="s">
        <v>512</v>
      </c>
    </row>
    <row r="75" spans="1:2" s="66" customFormat="1" ht="31" customHeight="1" x14ac:dyDescent="0.25">
      <c r="A75" s="133" t="s">
        <v>580</v>
      </c>
      <c r="B75" s="133" t="s">
        <v>512</v>
      </c>
    </row>
    <row r="76" spans="1:2" s="66" customFormat="1" ht="31" customHeight="1" x14ac:dyDescent="0.25">
      <c r="A76" s="133" t="s">
        <v>581</v>
      </c>
      <c r="B76" s="133" t="s">
        <v>512</v>
      </c>
    </row>
    <row r="77" spans="1:2" s="66" customFormat="1" ht="31" customHeight="1" x14ac:dyDescent="0.25">
      <c r="A77" s="133" t="s">
        <v>582</v>
      </c>
      <c r="B77" s="133" t="s">
        <v>512</v>
      </c>
    </row>
    <row r="78" spans="1:2" s="66" customFormat="1" ht="31" customHeight="1" x14ac:dyDescent="0.35">
      <c r="A78" s="137" t="s">
        <v>583</v>
      </c>
      <c r="B78" s="133"/>
    </row>
    <row r="79" spans="1:2" s="66" customFormat="1" ht="31" customHeight="1" x14ac:dyDescent="0.25">
      <c r="A79" s="133" t="s">
        <v>584</v>
      </c>
      <c r="B79" s="133" t="s">
        <v>512</v>
      </c>
    </row>
    <row r="80" spans="1:2" s="66" customFormat="1" ht="31" customHeight="1" x14ac:dyDescent="0.25">
      <c r="A80" s="133" t="s">
        <v>585</v>
      </c>
      <c r="B80" s="133" t="s">
        <v>512</v>
      </c>
    </row>
    <row r="81" spans="1:2" s="66" customFormat="1" ht="31" customHeight="1" x14ac:dyDescent="0.25">
      <c r="A81" s="133" t="s">
        <v>586</v>
      </c>
      <c r="B81" s="133" t="s">
        <v>512</v>
      </c>
    </row>
    <row r="82" spans="1:2" s="66" customFormat="1" ht="31" customHeight="1" x14ac:dyDescent="0.25">
      <c r="A82" s="133" t="s">
        <v>587</v>
      </c>
      <c r="B82" s="133" t="s">
        <v>512</v>
      </c>
    </row>
    <row r="83" spans="1:2" s="66" customFormat="1" ht="31" customHeight="1" x14ac:dyDescent="0.25">
      <c r="A83" s="133" t="s">
        <v>588</v>
      </c>
      <c r="B83" s="133" t="s">
        <v>512</v>
      </c>
    </row>
    <row r="84" spans="1:2" s="66" customFormat="1" ht="31" customHeight="1" x14ac:dyDescent="0.25">
      <c r="A84" s="133" t="s">
        <v>589</v>
      </c>
      <c r="B84" s="133" t="s">
        <v>512</v>
      </c>
    </row>
    <row r="85" spans="1:2" s="66" customFormat="1" ht="31" customHeight="1" x14ac:dyDescent="0.35">
      <c r="A85" s="137" t="s">
        <v>590</v>
      </c>
      <c r="B85" s="133"/>
    </row>
    <row r="86" spans="1:2" s="66" customFormat="1" ht="31" customHeight="1" x14ac:dyDescent="0.25">
      <c r="A86" s="133" t="s">
        <v>591</v>
      </c>
      <c r="B86" s="133" t="s">
        <v>512</v>
      </c>
    </row>
    <row r="87" spans="1:2" s="66" customFormat="1" ht="31" customHeight="1" x14ac:dyDescent="0.25">
      <c r="A87" s="133" t="s">
        <v>592</v>
      </c>
      <c r="B87" s="133" t="s">
        <v>512</v>
      </c>
    </row>
    <row r="88" spans="1:2" s="66" customFormat="1" ht="31" customHeight="1" x14ac:dyDescent="0.25">
      <c r="A88" s="133" t="s">
        <v>593</v>
      </c>
      <c r="B88" s="133" t="s">
        <v>512</v>
      </c>
    </row>
    <row r="89" spans="1:2" s="66" customFormat="1" ht="31" customHeight="1" x14ac:dyDescent="0.25">
      <c r="A89" s="133" t="s">
        <v>594</v>
      </c>
      <c r="B89" s="133" t="s">
        <v>512</v>
      </c>
    </row>
    <row r="90" spans="1:2" s="66" customFormat="1" ht="31" customHeight="1" x14ac:dyDescent="0.25">
      <c r="A90" s="133" t="s">
        <v>595</v>
      </c>
      <c r="B90" s="133" t="s">
        <v>512</v>
      </c>
    </row>
    <row r="91" spans="1:2" s="66" customFormat="1" ht="31" customHeight="1" x14ac:dyDescent="0.25">
      <c r="A91" s="133" t="s">
        <v>596</v>
      </c>
      <c r="B91" s="133" t="s">
        <v>512</v>
      </c>
    </row>
    <row r="92" spans="1:2" s="66" customFormat="1" ht="31" customHeight="1" x14ac:dyDescent="0.25">
      <c r="A92" s="133" t="s">
        <v>597</v>
      </c>
      <c r="B92" s="133" t="s">
        <v>512</v>
      </c>
    </row>
    <row r="93" spans="1:2" s="66" customFormat="1" ht="31" customHeight="1" x14ac:dyDescent="0.25">
      <c r="A93" s="133" t="s">
        <v>598</v>
      </c>
      <c r="B93" s="133" t="s">
        <v>512</v>
      </c>
    </row>
    <row r="94" spans="1:2" s="66" customFormat="1" ht="31" customHeight="1" x14ac:dyDescent="0.25">
      <c r="A94" s="133" t="s">
        <v>599</v>
      </c>
      <c r="B94" s="133" t="s">
        <v>512</v>
      </c>
    </row>
    <row r="95" spans="1:2" s="66" customFormat="1" ht="31" customHeight="1" x14ac:dyDescent="0.25">
      <c r="A95" s="133" t="s">
        <v>600</v>
      </c>
      <c r="B95" s="133" t="s">
        <v>512</v>
      </c>
    </row>
    <row r="96" spans="1:2" s="66" customFormat="1" ht="31" customHeight="1" x14ac:dyDescent="0.25">
      <c r="A96" s="133" t="s">
        <v>601</v>
      </c>
      <c r="B96" s="133" t="s">
        <v>512</v>
      </c>
    </row>
    <row r="97" spans="1:2" s="66" customFormat="1" ht="31" customHeight="1" x14ac:dyDescent="0.25">
      <c r="A97" s="133" t="s">
        <v>602</v>
      </c>
      <c r="B97" s="133" t="s">
        <v>512</v>
      </c>
    </row>
    <row r="98" spans="1:2" s="66" customFormat="1" ht="31" customHeight="1" x14ac:dyDescent="0.35">
      <c r="A98" s="137" t="s">
        <v>603</v>
      </c>
      <c r="B98" s="133"/>
    </row>
    <row r="99" spans="1:2" s="66" customFormat="1" ht="31" customHeight="1" x14ac:dyDescent="0.25">
      <c r="A99" s="133" t="s">
        <v>604</v>
      </c>
      <c r="B99" s="133" t="s">
        <v>512</v>
      </c>
    </row>
    <row r="100" spans="1:2" s="66" customFormat="1" ht="31" customHeight="1" x14ac:dyDescent="0.25">
      <c r="A100" s="133" t="s">
        <v>605</v>
      </c>
      <c r="B100" s="133" t="s">
        <v>512</v>
      </c>
    </row>
    <row r="101" spans="1:2" s="66" customFormat="1" ht="31" customHeight="1" x14ac:dyDescent="0.25">
      <c r="A101" s="133" t="s">
        <v>606</v>
      </c>
      <c r="B101" s="133" t="s">
        <v>512</v>
      </c>
    </row>
    <row r="102" spans="1:2" s="66" customFormat="1" ht="31" customHeight="1" x14ac:dyDescent="0.25">
      <c r="A102" s="133" t="s">
        <v>607</v>
      </c>
      <c r="B102" s="133" t="s">
        <v>512</v>
      </c>
    </row>
    <row r="103" spans="1:2" s="66" customFormat="1" ht="31" customHeight="1" x14ac:dyDescent="0.35">
      <c r="A103" s="137" t="s">
        <v>608</v>
      </c>
    </row>
    <row r="104" spans="1:2" s="66" customFormat="1" ht="31" customHeight="1" x14ac:dyDescent="0.25">
      <c r="A104" s="133" t="s">
        <v>609</v>
      </c>
      <c r="B104" s="133" t="s">
        <v>512</v>
      </c>
    </row>
    <row r="105" spans="1:2" s="66" customFormat="1" ht="31" customHeight="1" x14ac:dyDescent="0.25">
      <c r="A105" s="133" t="s">
        <v>610</v>
      </c>
      <c r="B105" s="133" t="s">
        <v>512</v>
      </c>
    </row>
    <row r="106" spans="1:2" s="66" customFormat="1" ht="31" customHeight="1" x14ac:dyDescent="0.25">
      <c r="A106" s="133" t="s">
        <v>611</v>
      </c>
      <c r="B106" s="133" t="s">
        <v>512</v>
      </c>
    </row>
    <row r="107" spans="1:2" s="66" customFormat="1" ht="31" customHeight="1" x14ac:dyDescent="0.25">
      <c r="A107" s="133" t="s">
        <v>612</v>
      </c>
      <c r="B107" s="133" t="s">
        <v>512</v>
      </c>
    </row>
    <row r="108" spans="1:2" s="66" customFormat="1" ht="31" customHeight="1" x14ac:dyDescent="0.35">
      <c r="A108" s="137" t="s">
        <v>613</v>
      </c>
    </row>
    <row r="109" spans="1:2" s="66" customFormat="1" ht="31" customHeight="1" x14ac:dyDescent="0.25">
      <c r="A109" s="133" t="s">
        <v>614</v>
      </c>
      <c r="B109" s="133" t="s">
        <v>512</v>
      </c>
    </row>
    <row r="110" spans="1:2" s="66" customFormat="1" ht="31" customHeight="1" x14ac:dyDescent="0.25">
      <c r="A110" s="133" t="s">
        <v>615</v>
      </c>
      <c r="B110" s="133" t="s">
        <v>512</v>
      </c>
    </row>
    <row r="111" spans="1:2" s="66" customFormat="1" ht="31" customHeight="1" x14ac:dyDescent="0.25">
      <c r="A111" s="133" t="s">
        <v>616</v>
      </c>
      <c r="B111" s="133" t="s">
        <v>512</v>
      </c>
    </row>
    <row r="112" spans="1:2" s="66" customFormat="1" ht="31" customHeight="1" x14ac:dyDescent="0.25">
      <c r="A112" s="133" t="s">
        <v>617</v>
      </c>
      <c r="B112" s="133" t="s">
        <v>512</v>
      </c>
    </row>
    <row r="113" spans="1:2" s="66" customFormat="1" ht="31" customHeight="1" x14ac:dyDescent="0.35">
      <c r="A113" s="137" t="s">
        <v>618</v>
      </c>
    </row>
    <row r="114" spans="1:2" s="66" customFormat="1" ht="31" customHeight="1" x14ac:dyDescent="0.25">
      <c r="A114" s="133" t="s">
        <v>619</v>
      </c>
      <c r="B114" s="133" t="s">
        <v>512</v>
      </c>
    </row>
    <row r="115" spans="1:2" s="66" customFormat="1" ht="31" customHeight="1" x14ac:dyDescent="0.25">
      <c r="A115" s="133" t="s">
        <v>620</v>
      </c>
      <c r="B115" s="133" t="s">
        <v>512</v>
      </c>
    </row>
    <row r="116" spans="1:2" s="66" customFormat="1" ht="31" customHeight="1" x14ac:dyDescent="0.25">
      <c r="A116" s="133" t="s">
        <v>621</v>
      </c>
      <c r="B116" s="133" t="s">
        <v>512</v>
      </c>
    </row>
    <row r="117" spans="1:2" s="66" customFormat="1" ht="31" customHeight="1" x14ac:dyDescent="0.25">
      <c r="A117" s="133" t="s">
        <v>622</v>
      </c>
      <c r="B117" s="133" t="s">
        <v>512</v>
      </c>
    </row>
    <row r="118" spans="1:2" s="66" customFormat="1" ht="31" customHeight="1" x14ac:dyDescent="0.35">
      <c r="A118" s="137" t="s">
        <v>623</v>
      </c>
    </row>
    <row r="119" spans="1:2" s="66" customFormat="1" ht="31" customHeight="1" x14ac:dyDescent="0.25">
      <c r="A119" s="133" t="s">
        <v>624</v>
      </c>
      <c r="B119" s="133" t="s">
        <v>512</v>
      </c>
    </row>
    <row r="120" spans="1:2" s="66" customFormat="1" ht="31" customHeight="1" x14ac:dyDescent="0.25">
      <c r="A120" s="133" t="s">
        <v>625</v>
      </c>
      <c r="B120" s="133" t="s">
        <v>512</v>
      </c>
    </row>
    <row r="121" spans="1:2" s="66" customFormat="1" ht="31" customHeight="1" x14ac:dyDescent="0.25">
      <c r="A121" s="133" t="s">
        <v>626</v>
      </c>
      <c r="B121" s="133" t="s">
        <v>512</v>
      </c>
    </row>
    <row r="122" spans="1:2" s="66" customFormat="1" ht="31" customHeight="1" x14ac:dyDescent="0.25">
      <c r="A122" s="133" t="s">
        <v>627</v>
      </c>
      <c r="B122" s="133" t="s">
        <v>512</v>
      </c>
    </row>
    <row r="123" spans="1:2" s="66" customFormat="1" ht="31" customHeight="1" x14ac:dyDescent="0.35">
      <c r="A123" s="137" t="s">
        <v>628</v>
      </c>
    </row>
    <row r="124" spans="1:2" s="66" customFormat="1" ht="31" customHeight="1" x14ac:dyDescent="0.25">
      <c r="A124" s="133" t="s">
        <v>629</v>
      </c>
      <c r="B124" s="133" t="s">
        <v>512</v>
      </c>
    </row>
    <row r="125" spans="1:2" s="66" customFormat="1" ht="31" customHeight="1" x14ac:dyDescent="0.25">
      <c r="A125" s="133" t="s">
        <v>630</v>
      </c>
      <c r="B125" s="133" t="s">
        <v>512</v>
      </c>
    </row>
    <row r="126" spans="1:2" s="66" customFormat="1" ht="31" customHeight="1" x14ac:dyDescent="0.25">
      <c r="A126" s="133" t="s">
        <v>631</v>
      </c>
      <c r="B126" s="133" t="s">
        <v>512</v>
      </c>
    </row>
    <row r="127" spans="1:2" s="66" customFormat="1" ht="31" customHeight="1" x14ac:dyDescent="0.25">
      <c r="A127" s="133" t="s">
        <v>632</v>
      </c>
      <c r="B127" s="133" t="s">
        <v>512</v>
      </c>
    </row>
  </sheetData>
  <mergeCells count="7">
    <mergeCell ref="A6:B6"/>
    <mergeCell ref="C2:XFD2"/>
    <mergeCell ref="A1:B1"/>
    <mergeCell ref="A2:B2"/>
    <mergeCell ref="A3:B3"/>
    <mergeCell ref="A4:B4"/>
    <mergeCell ref="A5: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3"/>
  <sheetViews>
    <sheetView showGridLines="0" zoomScale="80" zoomScaleNormal="80" workbookViewId="0">
      <pane xSplit="3" topLeftCell="D1" activePane="topRight" state="frozen"/>
      <selection pane="topRight" sqref="A1:C1"/>
    </sheetView>
  </sheetViews>
  <sheetFormatPr defaultColWidth="0" defaultRowHeight="15.5" zeroHeight="1" x14ac:dyDescent="0.35"/>
  <cols>
    <col min="1" max="1" width="60.81640625" style="40" bestFit="1" customWidth="1"/>
    <col min="2" max="2" width="16.7265625" style="40" customWidth="1"/>
    <col min="3" max="3" width="8.7265625" style="40" customWidth="1"/>
    <col min="4" max="33" width="22.7265625" style="40" customWidth="1"/>
    <col min="34" max="16384" width="8.7265625" style="8" hidden="1"/>
  </cols>
  <sheetData>
    <row r="1" spans="1:34" ht="63" customHeight="1" x14ac:dyDescent="0.35">
      <c r="A1" s="180" t="s">
        <v>945</v>
      </c>
      <c r="B1" s="180"/>
      <c r="C1" s="180"/>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4" s="27" customFormat="1" ht="31" customHeight="1" thickBot="1" x14ac:dyDescent="0.4">
      <c r="A2" s="178" t="s">
        <v>633</v>
      </c>
      <c r="B2" s="179"/>
      <c r="C2" s="179"/>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3"/>
    </row>
    <row r="3" spans="1:34" s="58" customFormat="1" ht="31" customHeight="1" thickTop="1" x14ac:dyDescent="0.25">
      <c r="A3" s="128" t="s">
        <v>1</v>
      </c>
      <c r="B3" s="142" t="s">
        <v>634</v>
      </c>
      <c r="C3" s="142" t="s">
        <v>634</v>
      </c>
      <c r="D3" s="66">
        <v>1</v>
      </c>
      <c r="E3" s="66">
        <v>2</v>
      </c>
      <c r="F3" s="66">
        <v>3</v>
      </c>
      <c r="G3" s="66">
        <v>4</v>
      </c>
      <c r="H3" s="66">
        <v>5</v>
      </c>
      <c r="I3" s="66">
        <v>6</v>
      </c>
      <c r="J3" s="66">
        <v>7</v>
      </c>
      <c r="K3" s="66">
        <v>8</v>
      </c>
      <c r="L3" s="66">
        <v>9</v>
      </c>
      <c r="M3" s="66">
        <v>10</v>
      </c>
      <c r="N3" s="66">
        <v>11</v>
      </c>
      <c r="O3" s="66">
        <v>12</v>
      </c>
      <c r="P3" s="66">
        <v>13</v>
      </c>
      <c r="Q3" s="66">
        <v>14</v>
      </c>
      <c r="R3" s="66">
        <v>15</v>
      </c>
      <c r="S3" s="66">
        <v>16</v>
      </c>
      <c r="T3" s="66">
        <v>17</v>
      </c>
      <c r="U3" s="66">
        <v>18</v>
      </c>
      <c r="V3" s="66">
        <v>19</v>
      </c>
      <c r="W3" s="66">
        <v>20</v>
      </c>
      <c r="X3" s="66">
        <v>21</v>
      </c>
      <c r="Y3" s="66">
        <v>22</v>
      </c>
      <c r="Z3" s="66">
        <v>23</v>
      </c>
      <c r="AA3" s="66">
        <v>24</v>
      </c>
      <c r="AB3" s="66">
        <v>25</v>
      </c>
      <c r="AC3" s="66">
        <v>26</v>
      </c>
      <c r="AD3" s="66">
        <v>27</v>
      </c>
      <c r="AE3" s="66">
        <v>28</v>
      </c>
      <c r="AF3" s="66">
        <v>29</v>
      </c>
      <c r="AG3" s="66">
        <v>30</v>
      </c>
    </row>
    <row r="4" spans="1:34" s="27" customFormat="1" ht="31" customHeight="1" x14ac:dyDescent="0.35">
      <c r="A4" s="127" t="s">
        <v>8</v>
      </c>
      <c r="B4" s="71" t="s">
        <v>634</v>
      </c>
      <c r="C4" s="71" t="s">
        <v>634</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4" s="27" customFormat="1" ht="31" customHeight="1" x14ac:dyDescent="0.35">
      <c r="A5" s="127" t="s">
        <v>9</v>
      </c>
      <c r="B5" s="71" t="s">
        <v>634</v>
      </c>
      <c r="C5" s="71" t="s">
        <v>634</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row>
    <row r="6" spans="1:34" s="27" customFormat="1" ht="31" customHeight="1" x14ac:dyDescent="0.35">
      <c r="A6" s="127" t="s">
        <v>10</v>
      </c>
      <c r="B6" s="71" t="s">
        <v>634</v>
      </c>
      <c r="C6" s="71" t="s">
        <v>634</v>
      </c>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38"/>
    </row>
    <row r="7" spans="1:34" s="27" customFormat="1" ht="31" customHeight="1" x14ac:dyDescent="0.35">
      <c r="A7" s="127" t="s">
        <v>110</v>
      </c>
      <c r="B7" s="71" t="s">
        <v>634</v>
      </c>
      <c r="C7" s="71" t="s">
        <v>634</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1:34" s="61" customFormat="1" ht="31" customHeight="1" x14ac:dyDescent="0.35">
      <c r="A8" s="59" t="s">
        <v>635</v>
      </c>
      <c r="B8" s="59"/>
      <c r="C8" s="60"/>
    </row>
    <row r="9" spans="1:34" s="66" customFormat="1" ht="31" customHeight="1" x14ac:dyDescent="0.25">
      <c r="A9" s="127" t="s">
        <v>636</v>
      </c>
      <c r="B9" s="71" t="s">
        <v>634</v>
      </c>
      <c r="C9" s="71" t="s">
        <v>634</v>
      </c>
    </row>
    <row r="10" spans="1:34" s="66" customFormat="1" ht="31" customHeight="1" x14ac:dyDescent="0.25">
      <c r="A10" s="127" t="s">
        <v>637</v>
      </c>
      <c r="B10" s="71" t="s">
        <v>634</v>
      </c>
      <c r="C10" s="71" t="s">
        <v>634</v>
      </c>
    </row>
    <row r="11" spans="1:34" s="66" customFormat="1" ht="31" customHeight="1" x14ac:dyDescent="0.25">
      <c r="A11" s="127" t="s">
        <v>638</v>
      </c>
      <c r="B11" s="71" t="s">
        <v>634</v>
      </c>
      <c r="C11" s="71" t="s">
        <v>634</v>
      </c>
    </row>
    <row r="12" spans="1:34" s="66" customFormat="1" ht="31" customHeight="1" x14ac:dyDescent="0.25">
      <c r="A12" s="127" t="s">
        <v>639</v>
      </c>
      <c r="B12" s="71" t="s">
        <v>634</v>
      </c>
      <c r="C12" s="71" t="s">
        <v>634</v>
      </c>
    </row>
    <row r="13" spans="1:34" s="66" customFormat="1" ht="31" customHeight="1" x14ac:dyDescent="0.25">
      <c r="A13" s="127"/>
      <c r="B13" s="127"/>
      <c r="C13" s="127"/>
    </row>
    <row r="14" spans="1:34" s="61" customFormat="1" ht="31" customHeight="1" x14ac:dyDescent="0.35">
      <c r="A14" s="59" t="s">
        <v>640</v>
      </c>
      <c r="B14" s="59"/>
      <c r="C14" s="60"/>
    </row>
    <row r="15" spans="1:34" s="27" customFormat="1" ht="31" customHeight="1" x14ac:dyDescent="0.35">
      <c r="A15" s="127" t="s">
        <v>641</v>
      </c>
      <c r="B15" s="71" t="s">
        <v>634</v>
      </c>
      <c r="C15" s="71" t="s">
        <v>634</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row>
    <row r="16" spans="1:34" s="27" customFormat="1" ht="31" customHeight="1" x14ac:dyDescent="0.35">
      <c r="A16" s="127" t="s">
        <v>642</v>
      </c>
      <c r="B16" s="71" t="s">
        <v>634</v>
      </c>
      <c r="C16" s="71" t="s">
        <v>634</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row>
    <row r="17" spans="1:33" s="27" customFormat="1" ht="31" customHeight="1" x14ac:dyDescent="0.35">
      <c r="A17" s="127" t="s">
        <v>643</v>
      </c>
      <c r="B17" s="71" t="s">
        <v>634</v>
      </c>
      <c r="C17" s="71" t="s">
        <v>634</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row>
    <row r="18" spans="1:33" s="27" customFormat="1" ht="31" customHeight="1" x14ac:dyDescent="0.35">
      <c r="A18" s="127" t="s">
        <v>644</v>
      </c>
      <c r="B18" s="71" t="s">
        <v>634</v>
      </c>
      <c r="C18" s="71" t="s">
        <v>634</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row>
    <row r="19" spans="1:33" s="27" customFormat="1" ht="31" customHeight="1" x14ac:dyDescent="0.35">
      <c r="A19" s="127" t="s">
        <v>645</v>
      </c>
      <c r="B19" s="71" t="s">
        <v>634</v>
      </c>
      <c r="C19" s="71" t="s">
        <v>634</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row>
    <row r="20" spans="1:33" s="27" customFormat="1" ht="31" customHeight="1" x14ac:dyDescent="0.35">
      <c r="A20" s="127" t="s">
        <v>646</v>
      </c>
      <c r="B20" s="71" t="s">
        <v>634</v>
      </c>
      <c r="C20" s="71" t="s">
        <v>634</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row>
    <row r="21" spans="1:33" s="27" customFormat="1" ht="31" customHeight="1" x14ac:dyDescent="0.35">
      <c r="A21" s="127" t="s">
        <v>647</v>
      </c>
      <c r="B21" s="71" t="s">
        <v>634</v>
      </c>
      <c r="C21" s="71" t="s">
        <v>634</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row>
    <row r="22" spans="1:33" s="27" customFormat="1" ht="31" customHeight="1" x14ac:dyDescent="0.35">
      <c r="A22" s="127" t="s">
        <v>648</v>
      </c>
      <c r="B22" s="71" t="s">
        <v>634</v>
      </c>
      <c r="C22" s="71" t="s">
        <v>634</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row>
    <row r="23" spans="1:33" s="27" customFormat="1" ht="31" customHeight="1" x14ac:dyDescent="0.35">
      <c r="A23" s="127" t="s">
        <v>649</v>
      </c>
      <c r="B23" s="71" t="s">
        <v>634</v>
      </c>
      <c r="C23" s="71" t="s">
        <v>634</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row>
    <row r="24" spans="1:33" s="27" customFormat="1" ht="31" customHeight="1" x14ac:dyDescent="0.35">
      <c r="A24" s="127" t="s">
        <v>650</v>
      </c>
      <c r="B24" s="71" t="s">
        <v>634</v>
      </c>
      <c r="C24" s="71" t="s">
        <v>634</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row>
    <row r="25" spans="1:33" s="27" customFormat="1" ht="31" customHeight="1" x14ac:dyDescent="0.35">
      <c r="A25" s="127" t="s">
        <v>651</v>
      </c>
      <c r="B25" s="71" t="s">
        <v>634</v>
      </c>
      <c r="C25" s="71" t="s">
        <v>634</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row>
    <row r="26" spans="1:33" s="27" customFormat="1" ht="31" customHeight="1" x14ac:dyDescent="0.35">
      <c r="A26" s="127" t="s">
        <v>652</v>
      </c>
      <c r="B26" s="71" t="s">
        <v>634</v>
      </c>
      <c r="C26" s="71" t="s">
        <v>634</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row>
    <row r="27" spans="1:33" s="27" customFormat="1" ht="31" customHeight="1" x14ac:dyDescent="0.35">
      <c r="A27" s="127"/>
      <c r="B27" s="127"/>
      <c r="C27" s="127"/>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row>
    <row r="28" spans="1:33" s="61" customFormat="1" ht="31" customHeight="1" x14ac:dyDescent="0.35">
      <c r="A28" s="59" t="s">
        <v>653</v>
      </c>
      <c r="B28" s="136"/>
      <c r="C28" s="140"/>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row>
    <row r="29" spans="1:33" s="27" customFormat="1" ht="31" customHeight="1" x14ac:dyDescent="0.35">
      <c r="A29" s="127" t="s">
        <v>654</v>
      </c>
      <c r="B29" s="71" t="s">
        <v>634</v>
      </c>
      <c r="C29" s="71" t="s">
        <v>634</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row>
    <row r="30" spans="1:33" s="27" customFormat="1" ht="31" customHeight="1" x14ac:dyDescent="0.35">
      <c r="A30" s="127" t="s">
        <v>655</v>
      </c>
      <c r="B30" s="71" t="s">
        <v>634</v>
      </c>
      <c r="C30" s="71" t="s">
        <v>634</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row>
    <row r="31" spans="1:33" s="27" customFormat="1" ht="31" customHeight="1" x14ac:dyDescent="0.35">
      <c r="A31" s="127" t="s">
        <v>656</v>
      </c>
      <c r="B31" s="71" t="s">
        <v>634</v>
      </c>
      <c r="C31" s="71" t="s">
        <v>634</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row>
    <row r="32" spans="1:33" s="27" customFormat="1" ht="31" customHeight="1" x14ac:dyDescent="0.35">
      <c r="A32" s="127" t="s">
        <v>657</v>
      </c>
      <c r="B32" s="71" t="s">
        <v>634</v>
      </c>
      <c r="C32" s="71" t="s">
        <v>634</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row>
    <row r="33" spans="1:33" s="27" customFormat="1" ht="31" customHeight="1" x14ac:dyDescent="0.35">
      <c r="A33" s="127" t="s">
        <v>658</v>
      </c>
      <c r="B33" s="71" t="s">
        <v>634</v>
      </c>
      <c r="C33" s="71" t="s">
        <v>634</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row>
    <row r="34" spans="1:33" s="27" customFormat="1" ht="31" customHeight="1" x14ac:dyDescent="0.35">
      <c r="A34" s="127" t="s">
        <v>659</v>
      </c>
      <c r="B34" s="71" t="s">
        <v>634</v>
      </c>
      <c r="C34" s="71" t="s">
        <v>634</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3" s="27" customFormat="1" ht="31" customHeight="1" x14ac:dyDescent="0.35">
      <c r="A35" s="127" t="s">
        <v>660</v>
      </c>
      <c r="B35" s="127" t="s">
        <v>634</v>
      </c>
      <c r="C35" s="127" t="s">
        <v>634</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row>
    <row r="36" spans="1:33" s="27" customFormat="1" ht="31" customHeight="1" x14ac:dyDescent="0.35">
      <c r="A36" s="127" t="s">
        <v>661</v>
      </c>
      <c r="B36" s="127" t="s">
        <v>634</v>
      </c>
      <c r="C36" s="127" t="s">
        <v>634</v>
      </c>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row>
    <row r="37" spans="1:33" s="27" customFormat="1" ht="31" customHeight="1" x14ac:dyDescent="0.35">
      <c r="A37" s="127" t="s">
        <v>662</v>
      </c>
      <c r="B37" s="127" t="s">
        <v>634</v>
      </c>
      <c r="C37" s="127" t="s">
        <v>634</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row>
    <row r="38" spans="1:33" s="27" customFormat="1" ht="31" customHeight="1" x14ac:dyDescent="0.35">
      <c r="A38" s="127" t="s">
        <v>663</v>
      </c>
      <c r="B38" s="127" t="s">
        <v>634</v>
      </c>
      <c r="C38" s="127" t="s">
        <v>634</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row>
    <row r="39" spans="1:33" s="27" customFormat="1" ht="31" customHeight="1" x14ac:dyDescent="0.35">
      <c r="A39" s="127" t="s">
        <v>664</v>
      </c>
      <c r="B39" s="127" t="s">
        <v>634</v>
      </c>
      <c r="C39" s="127" t="s">
        <v>634</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row>
    <row r="40" spans="1:33" s="27" customFormat="1" ht="31" customHeight="1" x14ac:dyDescent="0.35">
      <c r="A40" s="127" t="s">
        <v>664</v>
      </c>
      <c r="B40" s="127" t="s">
        <v>634</v>
      </c>
      <c r="C40" s="127" t="s">
        <v>634</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row>
    <row r="41" spans="1:33" s="27" customFormat="1" ht="31" customHeight="1" x14ac:dyDescent="0.35">
      <c r="A41" s="127" t="s">
        <v>665</v>
      </c>
      <c r="B41" s="71" t="s">
        <v>634</v>
      </c>
      <c r="C41" s="71" t="s">
        <v>634</v>
      </c>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row>
    <row r="42" spans="1:33" s="27" customFormat="1" ht="31" customHeight="1" x14ac:dyDescent="0.35">
      <c r="A42" s="127" t="s">
        <v>666</v>
      </c>
      <c r="B42" s="71" t="s">
        <v>634</v>
      </c>
      <c r="C42" s="71" t="s">
        <v>634</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row>
    <row r="43" spans="1:33" s="27" customFormat="1" ht="31" customHeight="1" x14ac:dyDescent="0.35">
      <c r="A43" s="127" t="s">
        <v>667</v>
      </c>
      <c r="B43" s="71" t="s">
        <v>634</v>
      </c>
      <c r="C43" s="71" t="s">
        <v>634</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row>
    <row r="44" spans="1:33" s="27" customFormat="1" ht="31" customHeight="1" x14ac:dyDescent="0.35">
      <c r="A44" s="127" t="s">
        <v>668</v>
      </c>
      <c r="B44" s="71" t="s">
        <v>634</v>
      </c>
      <c r="C44" s="71" t="s">
        <v>634</v>
      </c>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row>
    <row r="45" spans="1:33" s="27" customFormat="1" ht="31" customHeight="1" x14ac:dyDescent="0.35">
      <c r="A45" s="127" t="s">
        <v>669</v>
      </c>
      <c r="B45" s="71" t="s">
        <v>634</v>
      </c>
      <c r="C45" s="71" t="s">
        <v>634</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row>
    <row r="46" spans="1:33" s="27" customFormat="1" ht="31" customHeight="1" x14ac:dyDescent="0.35">
      <c r="A46" s="127" t="s">
        <v>670</v>
      </c>
      <c r="B46" s="71" t="s">
        <v>634</v>
      </c>
      <c r="C46" s="71" t="s">
        <v>634</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row>
    <row r="47" spans="1:33" s="27" customFormat="1" ht="31" customHeight="1" x14ac:dyDescent="0.35">
      <c r="A47" s="127" t="s">
        <v>671</v>
      </c>
      <c r="B47" s="71" t="s">
        <v>634</v>
      </c>
      <c r="C47" s="71" t="s">
        <v>634</v>
      </c>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s="27" customFormat="1" ht="31" customHeight="1" x14ac:dyDescent="0.35">
      <c r="A48" s="127" t="s">
        <v>672</v>
      </c>
      <c r="B48" s="71" t="s">
        <v>634</v>
      </c>
      <c r="C48" s="71" t="s">
        <v>634</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s="27" customFormat="1" ht="31" customHeight="1" x14ac:dyDescent="0.35">
      <c r="A49" s="127" t="s">
        <v>673</v>
      </c>
      <c r="B49" s="71" t="s">
        <v>634</v>
      </c>
      <c r="C49" s="71" t="s">
        <v>634</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row>
    <row r="50" spans="1:33" s="27" customFormat="1" ht="31" customHeight="1" x14ac:dyDescent="0.35">
      <c r="A50" s="127" t="s">
        <v>674</v>
      </c>
      <c r="B50" s="71" t="s">
        <v>634</v>
      </c>
      <c r="C50" s="71" t="s">
        <v>634</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s="27" customFormat="1" ht="31" customHeight="1" x14ac:dyDescent="0.35">
      <c r="A51" s="127" t="s">
        <v>675</v>
      </c>
      <c r="B51" s="71" t="s">
        <v>634</v>
      </c>
      <c r="C51" s="71" t="s">
        <v>634</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row>
    <row r="52" spans="1:33" s="27" customFormat="1" ht="31" customHeight="1" x14ac:dyDescent="0.35">
      <c r="A52" s="127" t="s">
        <v>676</v>
      </c>
      <c r="B52" s="71" t="s">
        <v>634</v>
      </c>
      <c r="C52" s="71" t="s">
        <v>634</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row>
    <row r="53" spans="1:33" s="27" customFormat="1" ht="31" customHeight="1" x14ac:dyDescent="0.35">
      <c r="A53" s="127" t="s">
        <v>677</v>
      </c>
      <c r="B53" s="71" t="s">
        <v>634</v>
      </c>
      <c r="C53" s="71" t="s">
        <v>634</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row>
    <row r="54" spans="1:33" s="27" customFormat="1" ht="31" customHeight="1" x14ac:dyDescent="0.35">
      <c r="A54" s="127" t="s">
        <v>678</v>
      </c>
      <c r="B54" s="71" t="s">
        <v>634</v>
      </c>
      <c r="C54" s="71" t="s">
        <v>634</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row>
    <row r="55" spans="1:33" s="27" customFormat="1" ht="31" customHeight="1" x14ac:dyDescent="0.35">
      <c r="A55" s="127" t="s">
        <v>679</v>
      </c>
      <c r="B55" s="71" t="s">
        <v>634</v>
      </c>
      <c r="C55" s="71" t="s">
        <v>634</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row>
    <row r="56" spans="1:33" s="27" customFormat="1" ht="31" customHeight="1" x14ac:dyDescent="0.35">
      <c r="A56" s="127" t="s">
        <v>680</v>
      </c>
      <c r="B56" s="71" t="s">
        <v>634</v>
      </c>
      <c r="C56" s="71" t="s">
        <v>634</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row>
    <row r="57" spans="1:33" s="27" customFormat="1" ht="31" customHeight="1" x14ac:dyDescent="0.35">
      <c r="A57" s="127" t="s">
        <v>681</v>
      </c>
      <c r="B57" s="71" t="s">
        <v>634</v>
      </c>
      <c r="C57" s="71" t="s">
        <v>634</v>
      </c>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33" s="27" customFormat="1" ht="31" customHeight="1" x14ac:dyDescent="0.35">
      <c r="A58" s="127" t="s">
        <v>682</v>
      </c>
      <c r="B58" s="71" t="s">
        <v>634</v>
      </c>
      <c r="C58" s="71" t="s">
        <v>634</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33" s="27" customFormat="1" ht="31" customHeight="1" x14ac:dyDescent="0.35">
      <c r="A59" s="127" t="s">
        <v>683</v>
      </c>
      <c r="B59" s="71" t="s">
        <v>634</v>
      </c>
      <c r="C59" s="71" t="s">
        <v>634</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33" s="27" customFormat="1" ht="31" customHeight="1" x14ac:dyDescent="0.35">
      <c r="A60" s="127" t="s">
        <v>684</v>
      </c>
      <c r="B60" s="71" t="s">
        <v>634</v>
      </c>
      <c r="C60" s="71" t="s">
        <v>634</v>
      </c>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33" s="27" customFormat="1" ht="31" customHeight="1" x14ac:dyDescent="0.35">
      <c r="A61" s="127" t="s">
        <v>685</v>
      </c>
      <c r="B61" s="71" t="s">
        <v>634</v>
      </c>
      <c r="C61" s="71" t="s">
        <v>634</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s="27" customFormat="1" ht="31" customHeight="1" x14ac:dyDescent="0.35">
      <c r="A62" s="127" t="s">
        <v>686</v>
      </c>
      <c r="B62" s="71" t="s">
        <v>634</v>
      </c>
      <c r="C62" s="71" t="s">
        <v>634</v>
      </c>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33" s="27" customFormat="1" ht="31" customHeight="1" x14ac:dyDescent="0.35">
      <c r="A63" s="127"/>
      <c r="B63" s="71"/>
      <c r="C63" s="71"/>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33" s="63" customFormat="1" ht="31" customHeight="1" x14ac:dyDescent="0.25">
      <c r="A64" s="59" t="s">
        <v>687</v>
      </c>
      <c r="B64" s="59"/>
      <c r="C64" s="141"/>
    </row>
    <row r="65" spans="1:33" s="27" customFormat="1" ht="31" customHeight="1" x14ac:dyDescent="0.35">
      <c r="A65" s="127" t="s">
        <v>654</v>
      </c>
      <c r="B65" s="71" t="s">
        <v>634</v>
      </c>
      <c r="C65" s="71" t="s">
        <v>634</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row>
    <row r="66" spans="1:33" s="27" customFormat="1" ht="31" customHeight="1" x14ac:dyDescent="0.35">
      <c r="A66" s="127" t="s">
        <v>655</v>
      </c>
      <c r="B66" s="71" t="s">
        <v>634</v>
      </c>
      <c r="C66" s="71" t="s">
        <v>634</v>
      </c>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row>
    <row r="67" spans="1:33" s="27" customFormat="1" ht="31" customHeight="1" x14ac:dyDescent="0.35">
      <c r="A67" s="127" t="s">
        <v>656</v>
      </c>
      <c r="B67" s="71" t="s">
        <v>634</v>
      </c>
      <c r="C67" s="71" t="s">
        <v>634</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row>
    <row r="68" spans="1:33" s="27" customFormat="1" ht="31" customHeight="1" x14ac:dyDescent="0.35">
      <c r="A68" s="127" t="s">
        <v>657</v>
      </c>
      <c r="B68" s="71" t="s">
        <v>634</v>
      </c>
      <c r="C68" s="71" t="s">
        <v>634</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1:33" s="27" customFormat="1" ht="31" customHeight="1" x14ac:dyDescent="0.35">
      <c r="A69" s="127" t="s">
        <v>658</v>
      </c>
      <c r="B69" s="71" t="s">
        <v>634</v>
      </c>
      <c r="C69" s="71" t="s">
        <v>634</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row>
    <row r="70" spans="1:33" s="27" customFormat="1" ht="31" customHeight="1" x14ac:dyDescent="0.35">
      <c r="A70" s="127" t="s">
        <v>659</v>
      </c>
      <c r="B70" s="71" t="s">
        <v>634</v>
      </c>
      <c r="C70" s="71" t="s">
        <v>634</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row>
    <row r="71" spans="1:33" s="27" customFormat="1" ht="31" customHeight="1" x14ac:dyDescent="0.35">
      <c r="A71" s="127" t="s">
        <v>660</v>
      </c>
      <c r="B71" s="127" t="s">
        <v>634</v>
      </c>
      <c r="C71" s="127" t="s">
        <v>634</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row>
    <row r="72" spans="1:33" s="27" customFormat="1" ht="31" customHeight="1" x14ac:dyDescent="0.35">
      <c r="A72" s="127" t="s">
        <v>661</v>
      </c>
      <c r="B72" s="127" t="s">
        <v>634</v>
      </c>
      <c r="C72" s="127" t="s">
        <v>634</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3" s="27" customFormat="1" ht="31" customHeight="1" x14ac:dyDescent="0.35">
      <c r="A73" s="127" t="s">
        <v>662</v>
      </c>
      <c r="B73" s="127" t="s">
        <v>634</v>
      </c>
      <c r="C73" s="127" t="s">
        <v>634</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row>
    <row r="74" spans="1:33" s="27" customFormat="1" ht="31" customHeight="1" x14ac:dyDescent="0.35">
      <c r="A74" s="127" t="s">
        <v>663</v>
      </c>
      <c r="B74" s="127" t="s">
        <v>634</v>
      </c>
      <c r="C74" s="127" t="s">
        <v>634</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row>
    <row r="75" spans="1:33" s="27" customFormat="1" ht="31" customHeight="1" x14ac:dyDescent="0.35">
      <c r="A75" s="127" t="s">
        <v>664</v>
      </c>
      <c r="B75" s="127" t="s">
        <v>634</v>
      </c>
      <c r="C75" s="127" t="s">
        <v>634</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3" s="27" customFormat="1" ht="31" customHeight="1" x14ac:dyDescent="0.35">
      <c r="A76" s="127" t="s">
        <v>664</v>
      </c>
      <c r="B76" s="127" t="s">
        <v>634</v>
      </c>
      <c r="C76" s="127" t="s">
        <v>634</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row>
    <row r="77" spans="1:33" s="27" customFormat="1" ht="31" customHeight="1" x14ac:dyDescent="0.35">
      <c r="A77" s="127" t="s">
        <v>665</v>
      </c>
      <c r="B77" s="71" t="s">
        <v>634</v>
      </c>
      <c r="C77" s="71" t="s">
        <v>634</v>
      </c>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row>
    <row r="78" spans="1:33" s="27" customFormat="1" ht="31" customHeight="1" x14ac:dyDescent="0.35">
      <c r="A78" s="127" t="s">
        <v>666</v>
      </c>
      <c r="B78" s="71" t="s">
        <v>634</v>
      </c>
      <c r="C78" s="71" t="s">
        <v>634</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row>
    <row r="79" spans="1:33" s="27" customFormat="1" ht="31" customHeight="1" x14ac:dyDescent="0.35">
      <c r="A79" s="127" t="s">
        <v>667</v>
      </c>
      <c r="B79" s="71" t="s">
        <v>634</v>
      </c>
      <c r="C79" s="71" t="s">
        <v>634</v>
      </c>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row>
    <row r="80" spans="1:33" s="27" customFormat="1" ht="31" customHeight="1" x14ac:dyDescent="0.35">
      <c r="A80" s="127" t="s">
        <v>668</v>
      </c>
      <c r="B80" s="71" t="s">
        <v>634</v>
      </c>
      <c r="C80" s="71" t="s">
        <v>634</v>
      </c>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row>
    <row r="81" spans="1:33" s="27" customFormat="1" ht="31" customHeight="1" x14ac:dyDescent="0.35">
      <c r="A81" s="127" t="s">
        <v>669</v>
      </c>
      <c r="B81" s="71" t="s">
        <v>634</v>
      </c>
      <c r="C81" s="71" t="s">
        <v>634</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33" s="27" customFormat="1" ht="31" customHeight="1" x14ac:dyDescent="0.35">
      <c r="A82" s="127" t="s">
        <v>670</v>
      </c>
      <c r="B82" s="71" t="s">
        <v>634</v>
      </c>
      <c r="C82" s="71" t="s">
        <v>634</v>
      </c>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row>
    <row r="83" spans="1:33" s="27" customFormat="1" ht="31" customHeight="1" x14ac:dyDescent="0.35">
      <c r="A83" s="127" t="s">
        <v>671</v>
      </c>
      <c r="B83" s="71" t="s">
        <v>634</v>
      </c>
      <c r="C83" s="71" t="s">
        <v>634</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1:33" s="27" customFormat="1" ht="31" customHeight="1" x14ac:dyDescent="0.35">
      <c r="A84" s="127" t="s">
        <v>672</v>
      </c>
      <c r="B84" s="71" t="s">
        <v>634</v>
      </c>
      <c r="C84" s="71" t="s">
        <v>634</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33" s="27" customFormat="1" ht="31" customHeight="1" x14ac:dyDescent="0.35">
      <c r="A85" s="127" t="s">
        <v>673</v>
      </c>
      <c r="B85" s="71" t="s">
        <v>634</v>
      </c>
      <c r="C85" s="71" t="s">
        <v>634</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row>
    <row r="86" spans="1:33" s="27" customFormat="1" ht="31" customHeight="1" x14ac:dyDescent="0.35">
      <c r="A86" s="127" t="s">
        <v>674</v>
      </c>
      <c r="B86" s="71" t="s">
        <v>634</v>
      </c>
      <c r="C86" s="71" t="s">
        <v>634</v>
      </c>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row>
    <row r="87" spans="1:33" s="27" customFormat="1" ht="31" customHeight="1" x14ac:dyDescent="0.35">
      <c r="A87" s="127" t="s">
        <v>675</v>
      </c>
      <c r="B87" s="71" t="s">
        <v>634</v>
      </c>
      <c r="C87" s="71" t="s">
        <v>634</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row>
    <row r="88" spans="1:33" s="27" customFormat="1" ht="31" customHeight="1" x14ac:dyDescent="0.35">
      <c r="A88" s="127" t="s">
        <v>676</v>
      </c>
      <c r="B88" s="71" t="s">
        <v>634</v>
      </c>
      <c r="C88" s="71" t="s">
        <v>634</v>
      </c>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33" s="27" customFormat="1" ht="31" customHeight="1" x14ac:dyDescent="0.35">
      <c r="A89" s="127" t="s">
        <v>677</v>
      </c>
      <c r="B89" s="71" t="s">
        <v>634</v>
      </c>
      <c r="C89" s="71" t="s">
        <v>634</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row>
    <row r="90" spans="1:33" s="27" customFormat="1" ht="31" customHeight="1" x14ac:dyDescent="0.35">
      <c r="A90" s="127" t="s">
        <v>678</v>
      </c>
      <c r="B90" s="71" t="s">
        <v>634</v>
      </c>
      <c r="C90" s="71" t="s">
        <v>634</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row>
    <row r="91" spans="1:33" s="27" customFormat="1" ht="31" customHeight="1" x14ac:dyDescent="0.35">
      <c r="A91" s="127" t="s">
        <v>679</v>
      </c>
      <c r="B91" s="71" t="s">
        <v>634</v>
      </c>
      <c r="C91" s="71" t="s">
        <v>634</v>
      </c>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row>
    <row r="92" spans="1:33" s="27" customFormat="1" ht="31" customHeight="1" x14ac:dyDescent="0.35">
      <c r="A92" s="127" t="s">
        <v>680</v>
      </c>
      <c r="B92" s="71" t="s">
        <v>634</v>
      </c>
      <c r="C92" s="71" t="s">
        <v>634</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row>
    <row r="93" spans="1:33" s="27" customFormat="1" ht="31" customHeight="1" x14ac:dyDescent="0.35">
      <c r="A93" s="127" t="s">
        <v>681</v>
      </c>
      <c r="B93" s="71" t="s">
        <v>634</v>
      </c>
      <c r="C93" s="71" t="s">
        <v>634</v>
      </c>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row>
    <row r="94" spans="1:33" s="27" customFormat="1" ht="31" customHeight="1" x14ac:dyDescent="0.35">
      <c r="A94" s="127" t="s">
        <v>682</v>
      </c>
      <c r="B94" s="71" t="s">
        <v>634</v>
      </c>
      <c r="C94" s="71" t="s">
        <v>634</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row>
    <row r="95" spans="1:33" s="27" customFormat="1" ht="31" customHeight="1" x14ac:dyDescent="0.35">
      <c r="A95" s="127" t="s">
        <v>683</v>
      </c>
      <c r="B95" s="71" t="s">
        <v>634</v>
      </c>
      <c r="C95" s="71" t="s">
        <v>634</v>
      </c>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row>
    <row r="96" spans="1:33" s="27" customFormat="1" ht="31" customHeight="1" x14ac:dyDescent="0.35">
      <c r="A96" s="127" t="s">
        <v>684</v>
      </c>
      <c r="B96" s="71" t="s">
        <v>634</v>
      </c>
      <c r="C96" s="71" t="s">
        <v>634</v>
      </c>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row>
    <row r="97" spans="1:33" s="27" customFormat="1" ht="31" customHeight="1" x14ac:dyDescent="0.35">
      <c r="A97" s="127" t="s">
        <v>685</v>
      </c>
      <c r="B97" s="71" t="s">
        <v>634</v>
      </c>
      <c r="C97" s="71" t="s">
        <v>634</v>
      </c>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row>
    <row r="98" spans="1:33" s="27" customFormat="1" ht="31" customHeight="1" x14ac:dyDescent="0.35">
      <c r="A98" s="127" t="s">
        <v>686</v>
      </c>
      <c r="B98" s="71" t="s">
        <v>634</v>
      </c>
      <c r="C98" s="71" t="s">
        <v>634</v>
      </c>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row>
    <row r="99" spans="1:33" s="27" customFormat="1" ht="31" customHeight="1" x14ac:dyDescent="0.35">
      <c r="A99" s="127"/>
      <c r="B99" s="127"/>
      <c r="C99" s="127"/>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row>
    <row r="100" spans="1:33" s="63" customFormat="1" ht="31" customHeight="1" x14ac:dyDescent="0.25">
      <c r="A100" s="59" t="s">
        <v>688</v>
      </c>
      <c r="B100" s="59" t="s">
        <v>689</v>
      </c>
      <c r="C100" s="59" t="s">
        <v>119</v>
      </c>
    </row>
    <row r="101" spans="1:33" s="27" customFormat="1" ht="31" customHeight="1" x14ac:dyDescent="0.35">
      <c r="A101" s="127" t="s">
        <v>690</v>
      </c>
      <c r="B101" s="127"/>
      <c r="C101" s="127"/>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row>
    <row r="102" spans="1:33" s="27" customFormat="1" ht="31" customHeight="1" x14ac:dyDescent="0.35">
      <c r="A102" s="127" t="s">
        <v>691</v>
      </c>
      <c r="B102" s="127"/>
      <c r="C102" s="127"/>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row>
    <row r="103" spans="1:33" s="27" customFormat="1" ht="31" customHeight="1" x14ac:dyDescent="0.35">
      <c r="A103" s="127"/>
      <c r="B103" s="127"/>
      <c r="C103" s="127"/>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row>
    <row r="104" spans="1:33" s="63" customFormat="1" ht="31" customHeight="1" x14ac:dyDescent="0.25">
      <c r="A104" s="59" t="s">
        <v>692</v>
      </c>
      <c r="B104" s="65" t="s">
        <v>693</v>
      </c>
      <c r="C104" s="59" t="s">
        <v>119</v>
      </c>
    </row>
    <row r="105" spans="1:33" s="27" customFormat="1" ht="31" customHeight="1" x14ac:dyDescent="0.35">
      <c r="A105" s="127" t="s">
        <v>694</v>
      </c>
      <c r="B105" s="127"/>
      <c r="C105" s="127"/>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1:33" s="27" customFormat="1" ht="31" customHeight="1" x14ac:dyDescent="0.35">
      <c r="A106" s="127" t="s">
        <v>695</v>
      </c>
      <c r="B106" s="127"/>
      <c r="C106" s="127"/>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row>
    <row r="107" spans="1:33" s="27" customFormat="1" ht="31" customHeight="1" x14ac:dyDescent="0.35">
      <c r="A107" s="127" t="s">
        <v>696</v>
      </c>
      <c r="B107" s="127"/>
      <c r="C107" s="127"/>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row>
    <row r="108" spans="1:33" s="27" customFormat="1" ht="31" customHeight="1" x14ac:dyDescent="0.35">
      <c r="A108" s="127" t="s">
        <v>697</v>
      </c>
      <c r="B108" s="127"/>
      <c r="C108" s="127"/>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row>
    <row r="109" spans="1:33" s="27" customFormat="1" ht="31" customHeight="1" x14ac:dyDescent="0.35">
      <c r="A109" s="127" t="s">
        <v>698</v>
      </c>
      <c r="B109" s="127"/>
      <c r="C109" s="127"/>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row>
    <row r="110" spans="1:33" s="27" customFormat="1" ht="31" customHeight="1" x14ac:dyDescent="0.35">
      <c r="A110" s="127" t="s">
        <v>699</v>
      </c>
      <c r="B110" s="127"/>
      <c r="C110" s="127"/>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row>
    <row r="111" spans="1:33" s="27" customFormat="1" ht="31" customHeight="1" x14ac:dyDescent="0.35">
      <c r="A111" s="127"/>
      <c r="B111" s="127"/>
      <c r="C111" s="127"/>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row>
    <row r="112" spans="1:33" s="63" customFormat="1" ht="31" customHeight="1" x14ac:dyDescent="0.25">
      <c r="A112" s="59" t="s">
        <v>700</v>
      </c>
      <c r="B112" s="59"/>
      <c r="C112" s="59" t="s">
        <v>119</v>
      </c>
    </row>
    <row r="113" spans="1:33" s="27" customFormat="1" ht="31" customHeight="1" x14ac:dyDescent="0.35">
      <c r="A113" s="133" t="s">
        <v>701</v>
      </c>
      <c r="B113" s="71" t="s">
        <v>634</v>
      </c>
      <c r="C113" s="71"/>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row>
    <row r="114" spans="1:33" s="27" customFormat="1" ht="31" customHeight="1" x14ac:dyDescent="0.35">
      <c r="A114" s="133" t="s">
        <v>702</v>
      </c>
      <c r="B114" s="71" t="s">
        <v>634</v>
      </c>
      <c r="C114" s="71"/>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row>
    <row r="115" spans="1:33" s="27" customFormat="1" ht="31" customHeight="1" x14ac:dyDescent="0.35">
      <c r="A115" s="133" t="s">
        <v>703</v>
      </c>
      <c r="B115" s="71" t="s">
        <v>634</v>
      </c>
      <c r="C115" s="71"/>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row>
    <row r="116" spans="1:33" s="27" customFormat="1" ht="31" customHeight="1" x14ac:dyDescent="0.35">
      <c r="A116" s="133" t="s">
        <v>704</v>
      </c>
      <c r="B116" s="71" t="s">
        <v>634</v>
      </c>
      <c r="C116" s="7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row>
    <row r="117" spans="1:33" s="27" customFormat="1" ht="31" customHeight="1" x14ac:dyDescent="0.35">
      <c r="A117" s="133" t="s">
        <v>705</v>
      </c>
      <c r="B117" s="71" t="s">
        <v>634</v>
      </c>
      <c r="C117" s="7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row>
    <row r="118" spans="1:33" s="27" customFormat="1" ht="31" customHeight="1" x14ac:dyDescent="0.35">
      <c r="A118" s="133" t="s">
        <v>706</v>
      </c>
      <c r="B118" s="71" t="s">
        <v>634</v>
      </c>
      <c r="C118" s="7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row>
    <row r="119" spans="1:33" s="27" customFormat="1" ht="31" customHeight="1" x14ac:dyDescent="0.35">
      <c r="A119" s="133" t="s">
        <v>707</v>
      </c>
      <c r="B119" s="71" t="s">
        <v>634</v>
      </c>
      <c r="C119" s="7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row>
    <row r="120" spans="1:33" s="27" customFormat="1" ht="31" customHeight="1" x14ac:dyDescent="0.35">
      <c r="A120" s="133" t="s">
        <v>708</v>
      </c>
      <c r="B120" s="71" t="s">
        <v>634</v>
      </c>
      <c r="C120" s="7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1:33" s="27" customFormat="1" ht="31" customHeight="1" x14ac:dyDescent="0.35">
      <c r="A121" s="133" t="s">
        <v>709</v>
      </c>
      <c r="B121" s="71" t="s">
        <v>634</v>
      </c>
      <c r="C121" s="71"/>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row>
    <row r="122" spans="1:33" s="27" customFormat="1" ht="31" customHeight="1" x14ac:dyDescent="0.35">
      <c r="A122" s="133" t="s">
        <v>710</v>
      </c>
      <c r="B122" s="71" t="s">
        <v>634</v>
      </c>
      <c r="C122" s="71"/>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1:33" s="27" customFormat="1" ht="31" customHeight="1" x14ac:dyDescent="0.35">
      <c r="A123" s="133" t="s">
        <v>711</v>
      </c>
      <c r="B123" s="71" t="s">
        <v>634</v>
      </c>
      <c r="C123" s="71"/>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row>
    <row r="124" spans="1:33" s="27" customFormat="1" ht="31" customHeight="1" x14ac:dyDescent="0.35">
      <c r="A124" s="139"/>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row>
    <row r="125" spans="1:33" s="63" customFormat="1" ht="31" customHeight="1" x14ac:dyDescent="0.25">
      <c r="A125" s="59" t="s">
        <v>712</v>
      </c>
      <c r="B125" s="59" t="s">
        <v>689</v>
      </c>
      <c r="C125" s="59" t="s">
        <v>119</v>
      </c>
    </row>
    <row r="126" spans="1:33" s="27" customFormat="1" ht="31" customHeight="1" x14ac:dyDescent="0.35">
      <c r="A126" s="127" t="s">
        <v>713</v>
      </c>
      <c r="B126" s="71" t="s">
        <v>634</v>
      </c>
      <c r="C126" s="71" t="s">
        <v>634</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33" s="27" customFormat="1" ht="31" customHeight="1" x14ac:dyDescent="0.35">
      <c r="A127" s="127" t="s">
        <v>690</v>
      </c>
      <c r="B127" s="127"/>
      <c r="C127" s="127"/>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row>
    <row r="128" spans="1:33" s="27" customFormat="1" ht="31" customHeight="1" x14ac:dyDescent="0.35">
      <c r="A128" s="127" t="s">
        <v>714</v>
      </c>
      <c r="B128" s="127"/>
      <c r="C128" s="127"/>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row>
    <row r="129" spans="1:33" s="27" customFormat="1" ht="31" customHeight="1" x14ac:dyDescent="0.35">
      <c r="A129" s="127" t="s">
        <v>715</v>
      </c>
      <c r="B129" s="71" t="s">
        <v>634</v>
      </c>
      <c r="C129" s="71" t="s">
        <v>634</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row>
    <row r="130" spans="1:33" s="27" customFormat="1" ht="31" customHeight="1" x14ac:dyDescent="0.35">
      <c r="A130" s="127" t="s">
        <v>690</v>
      </c>
      <c r="B130" s="127"/>
      <c r="C130" s="127"/>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1:33" s="27" customFormat="1" ht="31" customHeight="1" x14ac:dyDescent="0.35">
      <c r="A131" s="127" t="s">
        <v>714</v>
      </c>
      <c r="B131" s="127"/>
      <c r="C131" s="127"/>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1:33" hidden="1" x14ac:dyDescent="0.35">
      <c r="A132" s="130"/>
      <c r="B132" s="130"/>
      <c r="C132" s="130"/>
    </row>
    <row r="133" spans="1:33" hidden="1" x14ac:dyDescent="0.35">
      <c r="A133" s="126"/>
    </row>
  </sheetData>
  <mergeCells count="2">
    <mergeCell ref="A2:C2"/>
    <mergeCell ref="A1:C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96D8-6B09-424C-84A1-6942FF973D96}">
  <dimension ref="A1:AF30"/>
  <sheetViews>
    <sheetView showGridLines="0" zoomScale="80" zoomScaleNormal="80" workbookViewId="0">
      <pane xSplit="2" topLeftCell="C1" activePane="topRight" state="frozen"/>
      <selection pane="topRight" sqref="A1:B1"/>
    </sheetView>
  </sheetViews>
  <sheetFormatPr defaultColWidth="0" defaultRowHeight="15.5" zeroHeight="1" x14ac:dyDescent="0.25"/>
  <cols>
    <col min="1" max="1" width="63.7265625" style="40" customWidth="1"/>
    <col min="2" max="2" width="12.7265625" style="40" customWidth="1"/>
    <col min="3" max="32" width="22.7265625" style="40" customWidth="1"/>
    <col min="33" max="16384" width="9.1796875" style="40" hidden="1"/>
  </cols>
  <sheetData>
    <row r="1" spans="1:32" s="145" customFormat="1" ht="63" customHeight="1" x14ac:dyDescent="0.35">
      <c r="A1" s="180" t="s">
        <v>946</v>
      </c>
      <c r="B1" s="180"/>
    </row>
    <row r="2" spans="1:32" s="146" customFormat="1" ht="30" customHeight="1" thickBot="1" x14ac:dyDescent="0.4">
      <c r="A2" s="178" t="s">
        <v>716</v>
      </c>
      <c r="B2" s="179"/>
    </row>
    <row r="3" spans="1:32" s="66" customFormat="1" ht="31" customHeight="1" thickTop="1" x14ac:dyDescent="0.25">
      <c r="A3" s="128" t="s">
        <v>1</v>
      </c>
      <c r="B3" s="128"/>
      <c r="C3" s="66">
        <v>1</v>
      </c>
      <c r="D3" s="66">
        <v>2</v>
      </c>
      <c r="E3" s="66">
        <v>3</v>
      </c>
      <c r="F3" s="66">
        <v>4</v>
      </c>
      <c r="G3" s="66">
        <v>5</v>
      </c>
      <c r="H3" s="66">
        <v>6</v>
      </c>
      <c r="I3" s="66">
        <v>7</v>
      </c>
      <c r="J3" s="66">
        <v>8</v>
      </c>
      <c r="K3" s="66">
        <v>9</v>
      </c>
      <c r="L3" s="66">
        <v>10</v>
      </c>
      <c r="M3" s="66">
        <v>11</v>
      </c>
      <c r="N3" s="66">
        <v>12</v>
      </c>
      <c r="O3" s="66">
        <v>13</v>
      </c>
      <c r="P3" s="66">
        <v>14</v>
      </c>
      <c r="Q3" s="66">
        <v>15</v>
      </c>
      <c r="R3" s="66">
        <v>16</v>
      </c>
      <c r="S3" s="66">
        <v>17</v>
      </c>
      <c r="T3" s="66">
        <v>18</v>
      </c>
      <c r="U3" s="66">
        <v>19</v>
      </c>
      <c r="V3" s="66">
        <v>20</v>
      </c>
      <c r="W3" s="66">
        <v>21</v>
      </c>
      <c r="X3" s="66">
        <v>22</v>
      </c>
      <c r="Y3" s="66">
        <v>23</v>
      </c>
      <c r="Z3" s="66">
        <v>24</v>
      </c>
      <c r="AA3" s="66">
        <v>25</v>
      </c>
      <c r="AB3" s="66">
        <v>26</v>
      </c>
      <c r="AC3" s="66">
        <v>27</v>
      </c>
      <c r="AD3" s="66">
        <v>28</v>
      </c>
      <c r="AE3" s="66">
        <v>29</v>
      </c>
      <c r="AF3" s="66">
        <v>30</v>
      </c>
    </row>
    <row r="4" spans="1:32" s="66" customFormat="1" ht="31" customHeight="1" x14ac:dyDescent="0.25">
      <c r="A4" s="127" t="s">
        <v>8</v>
      </c>
      <c r="B4" s="127"/>
    </row>
    <row r="5" spans="1:32" s="66" customFormat="1" ht="31" customHeight="1" x14ac:dyDescent="0.25">
      <c r="A5" s="127" t="s">
        <v>9</v>
      </c>
      <c r="B5" s="127"/>
    </row>
    <row r="6" spans="1:32" s="66" customFormat="1" ht="31" customHeight="1" x14ac:dyDescent="0.25">
      <c r="A6" s="127" t="s">
        <v>110</v>
      </c>
      <c r="B6" s="127"/>
    </row>
    <row r="7" spans="1:32" s="66" customFormat="1" ht="31" customHeight="1" x14ac:dyDescent="0.25">
      <c r="A7" s="127" t="s">
        <v>10</v>
      </c>
      <c r="B7" s="127"/>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row>
    <row r="8" spans="1:32" s="63" customFormat="1" ht="31" customHeight="1" x14ac:dyDescent="0.25">
      <c r="A8" s="59" t="s">
        <v>717</v>
      </c>
      <c r="B8" s="59" t="s">
        <v>119</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row>
    <row r="9" spans="1:32" s="66" customFormat="1" ht="31" customHeight="1" x14ac:dyDescent="0.25">
      <c r="A9" s="133" t="s">
        <v>718</v>
      </c>
      <c r="B9" s="66" t="s">
        <v>719</v>
      </c>
    </row>
    <row r="10" spans="1:32" s="66" customFormat="1" ht="31" customHeight="1" x14ac:dyDescent="0.25">
      <c r="A10" s="133" t="s">
        <v>720</v>
      </c>
      <c r="B10" s="66" t="s">
        <v>719</v>
      </c>
    </row>
    <row r="11" spans="1:32" s="66" customFormat="1" ht="31" customHeight="1" x14ac:dyDescent="0.25">
      <c r="A11" s="133" t="s">
        <v>721</v>
      </c>
      <c r="B11" s="66" t="s">
        <v>719</v>
      </c>
    </row>
    <row r="12" spans="1:32" s="66" customFormat="1" ht="31" customHeight="1" x14ac:dyDescent="0.25">
      <c r="A12" s="133" t="s">
        <v>722</v>
      </c>
      <c r="B12" s="66" t="s">
        <v>719</v>
      </c>
    </row>
    <row r="13" spans="1:32" s="66" customFormat="1" ht="31" customHeight="1" x14ac:dyDescent="0.25">
      <c r="A13" s="133" t="s">
        <v>723</v>
      </c>
      <c r="B13" s="66" t="s">
        <v>719</v>
      </c>
    </row>
    <row r="14" spans="1:32" s="66" customFormat="1" ht="31" customHeight="1" x14ac:dyDescent="0.25">
      <c r="A14" s="133" t="s">
        <v>724</v>
      </c>
      <c r="B14" s="66" t="s">
        <v>725</v>
      </c>
    </row>
    <row r="15" spans="1:32" s="66" customFormat="1" ht="31" customHeight="1" x14ac:dyDescent="0.25">
      <c r="A15" s="133" t="s">
        <v>726</v>
      </c>
      <c r="B15" s="66" t="s">
        <v>725</v>
      </c>
    </row>
    <row r="16" spans="1:32" s="66" customFormat="1" ht="31" customHeight="1" x14ac:dyDescent="0.25">
      <c r="A16" s="133" t="s">
        <v>727</v>
      </c>
      <c r="B16" s="66" t="s">
        <v>725</v>
      </c>
    </row>
    <row r="17" spans="1:32" s="66" customFormat="1" ht="31" customHeight="1" x14ac:dyDescent="0.25">
      <c r="A17" s="133" t="s">
        <v>728</v>
      </c>
      <c r="B17" s="66" t="s">
        <v>512</v>
      </c>
    </row>
    <row r="18" spans="1:32" s="66" customFormat="1" ht="31" customHeight="1" x14ac:dyDescent="0.25">
      <c r="A18" s="127" t="s">
        <v>729</v>
      </c>
      <c r="B18" s="66" t="s">
        <v>512</v>
      </c>
    </row>
    <row r="19" spans="1:32" s="66" customFormat="1" ht="31" customHeight="1" x14ac:dyDescent="0.25">
      <c r="A19" s="133"/>
    </row>
    <row r="20" spans="1:32" s="63" customFormat="1" ht="31" customHeight="1" x14ac:dyDescent="0.25">
      <c r="A20" s="59" t="s">
        <v>730</v>
      </c>
      <c r="B20" s="59" t="s">
        <v>119</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row>
    <row r="21" spans="1:32" s="66" customFormat="1" ht="31" customHeight="1" x14ac:dyDescent="0.25">
      <c r="A21" s="133" t="s">
        <v>718</v>
      </c>
      <c r="B21" s="66" t="s">
        <v>719</v>
      </c>
    </row>
    <row r="22" spans="1:32" s="66" customFormat="1" ht="31" customHeight="1" x14ac:dyDescent="0.25">
      <c r="A22" s="133" t="s">
        <v>720</v>
      </c>
      <c r="B22" s="66" t="s">
        <v>719</v>
      </c>
    </row>
    <row r="23" spans="1:32" s="66" customFormat="1" ht="31" customHeight="1" x14ac:dyDescent="0.25">
      <c r="A23" s="133" t="s">
        <v>721</v>
      </c>
      <c r="B23" s="66" t="s">
        <v>719</v>
      </c>
    </row>
    <row r="24" spans="1:32" s="66" customFormat="1" ht="31" customHeight="1" x14ac:dyDescent="0.25">
      <c r="A24" s="133" t="s">
        <v>722</v>
      </c>
      <c r="B24" s="66" t="s">
        <v>719</v>
      </c>
    </row>
    <row r="25" spans="1:32" s="66" customFormat="1" ht="31" customHeight="1" x14ac:dyDescent="0.25">
      <c r="A25" s="133" t="s">
        <v>723</v>
      </c>
      <c r="B25" s="66" t="s">
        <v>719</v>
      </c>
    </row>
    <row r="26" spans="1:32" s="66" customFormat="1" ht="31" customHeight="1" x14ac:dyDescent="0.25">
      <c r="A26" s="133" t="s">
        <v>724</v>
      </c>
      <c r="B26" s="66" t="s">
        <v>725</v>
      </c>
    </row>
    <row r="27" spans="1:32" s="66" customFormat="1" ht="31" customHeight="1" x14ac:dyDescent="0.25">
      <c r="A27" s="133" t="s">
        <v>726</v>
      </c>
      <c r="B27" s="66" t="s">
        <v>725</v>
      </c>
    </row>
    <row r="28" spans="1:32" s="66" customFormat="1" ht="31" customHeight="1" x14ac:dyDescent="0.25">
      <c r="A28" s="133" t="s">
        <v>727</v>
      </c>
      <c r="B28" s="66" t="s">
        <v>725</v>
      </c>
    </row>
    <row r="29" spans="1:32" s="66" customFormat="1" ht="31" customHeight="1" x14ac:dyDescent="0.25">
      <c r="A29" s="133" t="s">
        <v>728</v>
      </c>
      <c r="B29" s="66" t="s">
        <v>512</v>
      </c>
    </row>
    <row r="30" spans="1:32" s="66" customFormat="1" ht="31" customHeight="1" x14ac:dyDescent="0.25">
      <c r="A30" s="127" t="s">
        <v>729</v>
      </c>
      <c r="B30" s="66" t="s">
        <v>512</v>
      </c>
    </row>
  </sheetData>
  <mergeCells count="2">
    <mergeCell ref="A2:B2"/>
    <mergeCell ref="A1:B1"/>
  </mergeCells>
  <phoneticPr fontId="12"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E94B-1F89-49C3-88B8-72D14065EC62}">
  <sheetPr>
    <pageSetUpPr fitToPage="1"/>
  </sheetPr>
  <dimension ref="A1:M243"/>
  <sheetViews>
    <sheetView showGridLines="0" zoomScale="80" zoomScaleNormal="80" workbookViewId="0">
      <selection activeCell="A2" sqref="A2"/>
    </sheetView>
  </sheetViews>
  <sheetFormatPr defaultColWidth="0" defaultRowHeight="15.5" zeroHeight="1" x14ac:dyDescent="0.35"/>
  <cols>
    <col min="1" max="1" width="162.7265625" style="5" customWidth="1"/>
    <col min="2" max="13" width="0" style="13" hidden="1" customWidth="1"/>
    <col min="14" max="16384" width="8.7265625" style="13" hidden="1"/>
  </cols>
  <sheetData>
    <row r="1" spans="1:13" ht="63" customHeight="1" x14ac:dyDescent="0.35">
      <c r="A1" s="11" t="s">
        <v>947</v>
      </c>
      <c r="B1" s="12"/>
      <c r="C1" s="12"/>
      <c r="D1" s="12"/>
      <c r="E1" s="12"/>
      <c r="F1" s="12"/>
      <c r="G1" s="12"/>
      <c r="H1" s="12"/>
      <c r="I1" s="12"/>
      <c r="J1" s="12"/>
      <c r="K1" s="12"/>
      <c r="L1" s="12"/>
      <c r="M1" s="12"/>
    </row>
    <row r="2" spans="1:13" x14ac:dyDescent="0.35">
      <c r="A2" s="14" t="s">
        <v>933</v>
      </c>
    </row>
    <row r="3" spans="1:13" ht="46.5" x14ac:dyDescent="0.35">
      <c r="A3" s="15" t="s">
        <v>760</v>
      </c>
    </row>
    <row r="4" spans="1:13" x14ac:dyDescent="0.35">
      <c r="A4" s="15"/>
    </row>
    <row r="5" spans="1:13" ht="93" x14ac:dyDescent="0.35">
      <c r="A5" s="15" t="s">
        <v>773</v>
      </c>
    </row>
    <row r="6" spans="1:13" x14ac:dyDescent="0.35">
      <c r="A6" s="15"/>
    </row>
    <row r="7" spans="1:13" x14ac:dyDescent="0.35">
      <c r="A7" s="16" t="s">
        <v>761</v>
      </c>
    </row>
    <row r="8" spans="1:13" ht="93" x14ac:dyDescent="0.35">
      <c r="A8" s="5" t="s">
        <v>762</v>
      </c>
    </row>
    <row r="9" spans="1:13" x14ac:dyDescent="0.35">
      <c r="A9" s="15" t="s">
        <v>774</v>
      </c>
    </row>
    <row r="10" spans="1:13" x14ac:dyDescent="0.35">
      <c r="A10" s="15" t="s">
        <v>775</v>
      </c>
    </row>
    <row r="11" spans="1:13" x14ac:dyDescent="0.35">
      <c r="A11" s="15" t="s">
        <v>776</v>
      </c>
    </row>
    <row r="12" spans="1:13" x14ac:dyDescent="0.35">
      <c r="A12" s="17" t="s">
        <v>777</v>
      </c>
    </row>
    <row r="13" spans="1:13" x14ac:dyDescent="0.35">
      <c r="A13" s="15" t="s">
        <v>778</v>
      </c>
    </row>
    <row r="14" spans="1:13" x14ac:dyDescent="0.35">
      <c r="A14" s="15" t="s">
        <v>779</v>
      </c>
    </row>
    <row r="15" spans="1:13" x14ac:dyDescent="0.35">
      <c r="A15" s="18" t="s">
        <v>780</v>
      </c>
    </row>
    <row r="16" spans="1:13" x14ac:dyDescent="0.35">
      <c r="A16" s="18" t="s">
        <v>781</v>
      </c>
    </row>
    <row r="17" spans="1:1" x14ac:dyDescent="0.35">
      <c r="A17" s="18" t="s">
        <v>782</v>
      </c>
    </row>
    <row r="18" spans="1:1" x14ac:dyDescent="0.35">
      <c r="A18" s="18" t="s">
        <v>783</v>
      </c>
    </row>
    <row r="19" spans="1:1" x14ac:dyDescent="0.35">
      <c r="A19" s="18" t="s">
        <v>784</v>
      </c>
    </row>
    <row r="20" spans="1:1" ht="31" x14ac:dyDescent="0.35">
      <c r="A20" s="18" t="s">
        <v>785</v>
      </c>
    </row>
    <row r="21" spans="1:1" x14ac:dyDescent="0.35">
      <c r="A21" s="18" t="s">
        <v>786</v>
      </c>
    </row>
    <row r="22" spans="1:1" x14ac:dyDescent="0.35">
      <c r="A22" s="18" t="s">
        <v>787</v>
      </c>
    </row>
    <row r="23" spans="1:1" ht="31" x14ac:dyDescent="0.35">
      <c r="A23" s="18" t="s">
        <v>788</v>
      </c>
    </row>
    <row r="24" spans="1:1" x14ac:dyDescent="0.35">
      <c r="A24" s="12" t="s">
        <v>789</v>
      </c>
    </row>
    <row r="25" spans="1:1" x14ac:dyDescent="0.35">
      <c r="A25" s="12" t="s">
        <v>790</v>
      </c>
    </row>
    <row r="26" spans="1:1" x14ac:dyDescent="0.35">
      <c r="A26" s="12" t="s">
        <v>791</v>
      </c>
    </row>
    <row r="27" spans="1:1" x14ac:dyDescent="0.35">
      <c r="A27" s="12" t="s">
        <v>792</v>
      </c>
    </row>
    <row r="28" spans="1:1" x14ac:dyDescent="0.35">
      <c r="A28" s="12" t="s">
        <v>793</v>
      </c>
    </row>
    <row r="29" spans="1:1" x14ac:dyDescent="0.35">
      <c r="A29" s="12" t="s">
        <v>794</v>
      </c>
    </row>
    <row r="30" spans="1:1" x14ac:dyDescent="0.35">
      <c r="A30" s="12" t="s">
        <v>795</v>
      </c>
    </row>
    <row r="31" spans="1:1" x14ac:dyDescent="0.35">
      <c r="A31" s="12" t="s">
        <v>796</v>
      </c>
    </row>
    <row r="32" spans="1:1" x14ac:dyDescent="0.35">
      <c r="A32" s="12" t="s">
        <v>797</v>
      </c>
    </row>
    <row r="33" spans="1:1" x14ac:dyDescent="0.35">
      <c r="A33" s="12" t="s">
        <v>798</v>
      </c>
    </row>
    <row r="34" spans="1:1" x14ac:dyDescent="0.35">
      <c r="A34" s="12" t="s">
        <v>799</v>
      </c>
    </row>
    <row r="35" spans="1:1" x14ac:dyDescent="0.35">
      <c r="A35" s="12" t="s">
        <v>800</v>
      </c>
    </row>
    <row r="36" spans="1:1" ht="31" x14ac:dyDescent="0.35">
      <c r="A36" s="11" t="s">
        <v>801</v>
      </c>
    </row>
    <row r="37" spans="1:1" ht="31" x14ac:dyDescent="0.35">
      <c r="A37" s="11" t="s">
        <v>802</v>
      </c>
    </row>
    <row r="38" spans="1:1" ht="31" x14ac:dyDescent="0.35">
      <c r="A38" s="11" t="s">
        <v>803</v>
      </c>
    </row>
    <row r="39" spans="1:1" x14ac:dyDescent="0.35">
      <c r="A39" s="12" t="s">
        <v>804</v>
      </c>
    </row>
    <row r="40" spans="1:1" x14ac:dyDescent="0.35">
      <c r="A40" s="12" t="s">
        <v>805</v>
      </c>
    </row>
    <row r="41" spans="1:1" x14ac:dyDescent="0.35">
      <c r="A41" s="12" t="s">
        <v>806</v>
      </c>
    </row>
    <row r="42" spans="1:1" x14ac:dyDescent="0.35">
      <c r="A42" s="12" t="s">
        <v>807</v>
      </c>
    </row>
    <row r="43" spans="1:1" x14ac:dyDescent="0.35">
      <c r="A43" s="12" t="s">
        <v>808</v>
      </c>
    </row>
    <row r="44" spans="1:1" x14ac:dyDescent="0.35">
      <c r="A44" s="12" t="s">
        <v>809</v>
      </c>
    </row>
    <row r="45" spans="1:1" x14ac:dyDescent="0.35">
      <c r="A45" s="12" t="s">
        <v>810</v>
      </c>
    </row>
    <row r="46" spans="1:1" x14ac:dyDescent="0.35">
      <c r="A46" s="12" t="s">
        <v>811</v>
      </c>
    </row>
    <row r="47" spans="1:1" x14ac:dyDescent="0.35">
      <c r="A47" s="12" t="s">
        <v>812</v>
      </c>
    </row>
    <row r="48" spans="1:1" x14ac:dyDescent="0.35">
      <c r="A48" s="12" t="s">
        <v>813</v>
      </c>
    </row>
    <row r="49" spans="1:1" x14ac:dyDescent="0.35">
      <c r="A49" s="12" t="s">
        <v>814</v>
      </c>
    </row>
    <row r="50" spans="1:1" x14ac:dyDescent="0.35">
      <c r="A50" s="12" t="s">
        <v>815</v>
      </c>
    </row>
    <row r="51" spans="1:1" ht="46.5" x14ac:dyDescent="0.35">
      <c r="A51" s="19" t="s">
        <v>816</v>
      </c>
    </row>
    <row r="52" spans="1:1" ht="31" x14ac:dyDescent="0.35">
      <c r="A52" s="19" t="s">
        <v>817</v>
      </c>
    </row>
    <row r="53" spans="1:1" x14ac:dyDescent="0.35">
      <c r="A53" s="12"/>
    </row>
    <row r="54" spans="1:1" x14ac:dyDescent="0.35">
      <c r="A54" s="16" t="s">
        <v>763</v>
      </c>
    </row>
    <row r="55" spans="1:1" ht="124" x14ac:dyDescent="0.35">
      <c r="A55" s="5" t="s">
        <v>764</v>
      </c>
    </row>
    <row r="56" spans="1:1" ht="15.75" customHeight="1" x14ac:dyDescent="0.35">
      <c r="A56" s="15" t="s">
        <v>765</v>
      </c>
    </row>
    <row r="57" spans="1:1" x14ac:dyDescent="0.35">
      <c r="A57" s="18" t="s">
        <v>818</v>
      </c>
    </row>
    <row r="58" spans="1:1" x14ac:dyDescent="0.35">
      <c r="A58" s="18" t="s">
        <v>782</v>
      </c>
    </row>
    <row r="59" spans="1:1" x14ac:dyDescent="0.35">
      <c r="A59" s="20" t="s">
        <v>819</v>
      </c>
    </row>
    <row r="60" spans="1:1" x14ac:dyDescent="0.35"/>
    <row r="61" spans="1:1" x14ac:dyDescent="0.35">
      <c r="A61" s="15" t="s">
        <v>820</v>
      </c>
    </row>
    <row r="62" spans="1:1" x14ac:dyDescent="0.35">
      <c r="A62" s="17" t="s">
        <v>821</v>
      </c>
    </row>
    <row r="63" spans="1:1" x14ac:dyDescent="0.35">
      <c r="A63" s="17" t="s">
        <v>822</v>
      </c>
    </row>
    <row r="64" spans="1:1" x14ac:dyDescent="0.35">
      <c r="A64" s="17" t="s">
        <v>823</v>
      </c>
    </row>
    <row r="65" spans="1:1" x14ac:dyDescent="0.35">
      <c r="A65" s="17" t="s">
        <v>824</v>
      </c>
    </row>
    <row r="66" spans="1:1" x14ac:dyDescent="0.35">
      <c r="A66" s="17" t="s">
        <v>825</v>
      </c>
    </row>
    <row r="67" spans="1:1" ht="15" customHeight="1" x14ac:dyDescent="0.35">
      <c r="A67" s="17"/>
    </row>
    <row r="68" spans="1:1" x14ac:dyDescent="0.35">
      <c r="A68" s="14" t="s">
        <v>766</v>
      </c>
    </row>
    <row r="69" spans="1:1" ht="46.5" x14ac:dyDescent="0.35">
      <c r="A69" s="15" t="s">
        <v>935</v>
      </c>
    </row>
    <row r="70" spans="1:1" ht="15.75" customHeight="1" x14ac:dyDescent="0.35">
      <c r="A70" s="15" t="s">
        <v>765</v>
      </c>
    </row>
    <row r="71" spans="1:1" ht="15.75" customHeight="1" x14ac:dyDescent="0.35">
      <c r="A71" s="18" t="s">
        <v>818</v>
      </c>
    </row>
    <row r="72" spans="1:1" ht="15.75" customHeight="1" x14ac:dyDescent="0.35">
      <c r="A72" s="18" t="s">
        <v>782</v>
      </c>
    </row>
    <row r="73" spans="1:1" ht="15.75" customHeight="1" x14ac:dyDescent="0.35">
      <c r="A73" s="20" t="s">
        <v>819</v>
      </c>
    </row>
    <row r="74" spans="1:1" ht="15.75" customHeight="1" x14ac:dyDescent="0.35">
      <c r="A74" s="18"/>
    </row>
    <row r="75" spans="1:1" x14ac:dyDescent="0.35">
      <c r="A75" s="21" t="s">
        <v>826</v>
      </c>
    </row>
    <row r="76" spans="1:1" x14ac:dyDescent="0.35">
      <c r="A76" s="22" t="s">
        <v>827</v>
      </c>
    </row>
    <row r="77" spans="1:1" x14ac:dyDescent="0.35">
      <c r="A77" s="21" t="s">
        <v>828</v>
      </c>
    </row>
    <row r="78" spans="1:1" x14ac:dyDescent="0.35">
      <c r="A78" s="21" t="s">
        <v>829</v>
      </c>
    </row>
    <row r="79" spans="1:1" x14ac:dyDescent="0.35">
      <c r="A79" s="21" t="s">
        <v>830</v>
      </c>
    </row>
    <row r="80" spans="1:1" x14ac:dyDescent="0.35">
      <c r="A80" s="2" t="s">
        <v>831</v>
      </c>
    </row>
    <row r="81" spans="1:1" x14ac:dyDescent="0.35">
      <c r="A81" s="21" t="s">
        <v>832</v>
      </c>
    </row>
    <row r="82" spans="1:1" x14ac:dyDescent="0.35">
      <c r="A82" s="18"/>
    </row>
    <row r="83" spans="1:1" x14ac:dyDescent="0.35">
      <c r="A83" s="14" t="s">
        <v>767</v>
      </c>
    </row>
    <row r="84" spans="1:1" ht="77.5" x14ac:dyDescent="0.35">
      <c r="A84" s="15" t="s">
        <v>936</v>
      </c>
    </row>
    <row r="85" spans="1:1" ht="15.75" customHeight="1" x14ac:dyDescent="0.35">
      <c r="A85" s="18" t="s">
        <v>768</v>
      </c>
    </row>
    <row r="86" spans="1:1" ht="15.75" customHeight="1" x14ac:dyDescent="0.35">
      <c r="A86" s="18" t="s">
        <v>818</v>
      </c>
    </row>
    <row r="87" spans="1:1" ht="15.75" customHeight="1" x14ac:dyDescent="0.35">
      <c r="A87" s="18" t="s">
        <v>782</v>
      </c>
    </row>
    <row r="88" spans="1:1" ht="15.75" customHeight="1" x14ac:dyDescent="0.35">
      <c r="A88" s="20" t="s">
        <v>819</v>
      </c>
    </row>
    <row r="89" spans="1:1" x14ac:dyDescent="0.35">
      <c r="A89" s="20"/>
    </row>
    <row r="90" spans="1:1" ht="30.75" customHeight="1" x14ac:dyDescent="0.35">
      <c r="A90" s="4" t="s">
        <v>731</v>
      </c>
    </row>
    <row r="91" spans="1:1" x14ac:dyDescent="0.35">
      <c r="A91" s="4" t="s">
        <v>732</v>
      </c>
    </row>
    <row r="92" spans="1:1" ht="31" x14ac:dyDescent="0.35">
      <c r="A92" s="4" t="s">
        <v>733</v>
      </c>
    </row>
    <row r="93" spans="1:1" x14ac:dyDescent="0.35">
      <c r="A93" s="4" t="s">
        <v>734</v>
      </c>
    </row>
    <row r="94" spans="1:1" x14ac:dyDescent="0.35">
      <c r="A94" s="4" t="s">
        <v>735</v>
      </c>
    </row>
    <row r="95" spans="1:1" ht="31" x14ac:dyDescent="0.35">
      <c r="A95" s="4" t="s">
        <v>736</v>
      </c>
    </row>
    <row r="96" spans="1:1" ht="31" x14ac:dyDescent="0.35">
      <c r="A96" s="4" t="s">
        <v>737</v>
      </c>
    </row>
    <row r="97" spans="1:1" ht="31" x14ac:dyDescent="0.35">
      <c r="A97" s="4" t="s">
        <v>738</v>
      </c>
    </row>
    <row r="98" spans="1:1" ht="31" x14ac:dyDescent="0.35">
      <c r="A98" s="4" t="s">
        <v>739</v>
      </c>
    </row>
    <row r="99" spans="1:1" x14ac:dyDescent="0.35">
      <c r="A99" s="5" t="s">
        <v>833</v>
      </c>
    </row>
    <row r="100" spans="1:1" x14ac:dyDescent="0.35">
      <c r="A100" s="4" t="s">
        <v>740</v>
      </c>
    </row>
    <row r="101" spans="1:1" ht="31" x14ac:dyDescent="0.35">
      <c r="A101" s="5" t="s">
        <v>834</v>
      </c>
    </row>
    <row r="102" spans="1:1" x14ac:dyDescent="0.35">
      <c r="A102" s="5" t="s">
        <v>835</v>
      </c>
    </row>
    <row r="103" spans="1:1" x14ac:dyDescent="0.35">
      <c r="A103" s="5" t="s">
        <v>836</v>
      </c>
    </row>
    <row r="104" spans="1:1" x14ac:dyDescent="0.35">
      <c r="A104" s="4" t="s">
        <v>741</v>
      </c>
    </row>
    <row r="105" spans="1:1" x14ac:dyDescent="0.35">
      <c r="A105" s="5" t="s">
        <v>837</v>
      </c>
    </row>
    <row r="106" spans="1:1" x14ac:dyDescent="0.35">
      <c r="A106" s="4" t="s">
        <v>742</v>
      </c>
    </row>
    <row r="107" spans="1:1" x14ac:dyDescent="0.35">
      <c r="A107" s="4" t="s">
        <v>743</v>
      </c>
    </row>
    <row r="108" spans="1:1" ht="31" x14ac:dyDescent="0.35">
      <c r="A108" s="5" t="s">
        <v>838</v>
      </c>
    </row>
    <row r="109" spans="1:1" ht="31" x14ac:dyDescent="0.35">
      <c r="A109" s="5" t="s">
        <v>839</v>
      </c>
    </row>
    <row r="110" spans="1:1" ht="31" x14ac:dyDescent="0.35">
      <c r="A110" s="4" t="s">
        <v>744</v>
      </c>
    </row>
    <row r="111" spans="1:1" ht="31" x14ac:dyDescent="0.35">
      <c r="A111" s="5" t="s">
        <v>840</v>
      </c>
    </row>
    <row r="112" spans="1:1" x14ac:dyDescent="0.35"/>
    <row r="113" spans="1:1" ht="14.65" customHeight="1" x14ac:dyDescent="0.35">
      <c r="A113" s="14" t="s">
        <v>769</v>
      </c>
    </row>
    <row r="114" spans="1:1" ht="93" x14ac:dyDescent="0.35">
      <c r="A114" s="15" t="s">
        <v>937</v>
      </c>
    </row>
    <row r="115" spans="1:1" x14ac:dyDescent="0.35">
      <c r="A115" s="18" t="s">
        <v>768</v>
      </c>
    </row>
    <row r="116" spans="1:1" x14ac:dyDescent="0.35">
      <c r="A116" s="18" t="s">
        <v>818</v>
      </c>
    </row>
    <row r="117" spans="1:1" x14ac:dyDescent="0.35">
      <c r="A117" s="18" t="s">
        <v>782</v>
      </c>
    </row>
    <row r="118" spans="1:1" x14ac:dyDescent="0.35">
      <c r="A118" s="20" t="s">
        <v>819</v>
      </c>
    </row>
    <row r="119" spans="1:1" x14ac:dyDescent="0.35"/>
    <row r="120" spans="1:1" x14ac:dyDescent="0.35">
      <c r="A120" s="2" t="s">
        <v>841</v>
      </c>
    </row>
    <row r="121" spans="1:1" x14ac:dyDescent="0.35">
      <c r="A121" s="2" t="s">
        <v>842</v>
      </c>
    </row>
    <row r="122" spans="1:1" x14ac:dyDescent="0.35">
      <c r="A122" s="2" t="s">
        <v>843</v>
      </c>
    </row>
    <row r="123" spans="1:1" x14ac:dyDescent="0.35">
      <c r="A123" s="2" t="s">
        <v>844</v>
      </c>
    </row>
    <row r="124" spans="1:1" x14ac:dyDescent="0.35">
      <c r="A124" s="2" t="s">
        <v>845</v>
      </c>
    </row>
    <row r="125" spans="1:1" x14ac:dyDescent="0.35">
      <c r="A125" s="2" t="s">
        <v>846</v>
      </c>
    </row>
    <row r="126" spans="1:1" x14ac:dyDescent="0.35">
      <c r="A126" s="2" t="s">
        <v>847</v>
      </c>
    </row>
    <row r="127" spans="1:1" x14ac:dyDescent="0.35">
      <c r="A127" s="2" t="s">
        <v>848</v>
      </c>
    </row>
    <row r="128" spans="1:1" x14ac:dyDescent="0.35">
      <c r="A128" s="2" t="s">
        <v>849</v>
      </c>
    </row>
    <row r="129" spans="1:1" x14ac:dyDescent="0.35">
      <c r="A129" s="2" t="s">
        <v>850</v>
      </c>
    </row>
    <row r="130" spans="1:1" x14ac:dyDescent="0.35">
      <c r="A130" s="2" t="s">
        <v>851</v>
      </c>
    </row>
    <row r="131" spans="1:1" x14ac:dyDescent="0.35">
      <c r="A131" s="2" t="s">
        <v>852</v>
      </c>
    </row>
    <row r="132" spans="1:1" x14ac:dyDescent="0.35">
      <c r="A132" s="2" t="s">
        <v>853</v>
      </c>
    </row>
    <row r="133" spans="1:1" x14ac:dyDescent="0.35">
      <c r="A133" s="2" t="s">
        <v>854</v>
      </c>
    </row>
    <row r="134" spans="1:1" x14ac:dyDescent="0.35">
      <c r="A134" s="2" t="s">
        <v>855</v>
      </c>
    </row>
    <row r="135" spans="1:1" x14ac:dyDescent="0.35">
      <c r="A135" s="2" t="s">
        <v>856</v>
      </c>
    </row>
    <row r="136" spans="1:1" x14ac:dyDescent="0.35">
      <c r="A136" s="2" t="s">
        <v>857</v>
      </c>
    </row>
    <row r="137" spans="1:1" x14ac:dyDescent="0.35">
      <c r="A137" s="2" t="s">
        <v>858</v>
      </c>
    </row>
    <row r="138" spans="1:1" ht="31" x14ac:dyDescent="0.35">
      <c r="A138" s="2" t="s">
        <v>859</v>
      </c>
    </row>
    <row r="139" spans="1:1" ht="31" x14ac:dyDescent="0.35">
      <c r="A139" s="2" t="s">
        <v>860</v>
      </c>
    </row>
    <row r="140" spans="1:1" ht="31" x14ac:dyDescent="0.35">
      <c r="A140" s="2" t="s">
        <v>861</v>
      </c>
    </row>
    <row r="141" spans="1:1" ht="31" x14ac:dyDescent="0.35">
      <c r="A141" s="2" t="s">
        <v>862</v>
      </c>
    </row>
    <row r="142" spans="1:1" ht="31" x14ac:dyDescent="0.35">
      <c r="A142" s="2" t="s">
        <v>863</v>
      </c>
    </row>
    <row r="143" spans="1:1" ht="31" x14ac:dyDescent="0.35">
      <c r="A143" s="2" t="s">
        <v>864</v>
      </c>
    </row>
    <row r="144" spans="1:1" ht="31" x14ac:dyDescent="0.35">
      <c r="A144" s="2" t="s">
        <v>865</v>
      </c>
    </row>
    <row r="145" spans="1:1" ht="32.15" customHeight="1" x14ac:dyDescent="0.35">
      <c r="A145" s="2" t="s">
        <v>866</v>
      </c>
    </row>
    <row r="146" spans="1:1" ht="31" x14ac:dyDescent="0.35">
      <c r="A146" s="2" t="s">
        <v>867</v>
      </c>
    </row>
    <row r="147" spans="1:1" ht="31" x14ac:dyDescent="0.35">
      <c r="A147" s="2" t="s">
        <v>868</v>
      </c>
    </row>
    <row r="148" spans="1:1" ht="31" x14ac:dyDescent="0.35">
      <c r="A148" s="2" t="s">
        <v>869</v>
      </c>
    </row>
    <row r="149" spans="1:1" ht="31" x14ac:dyDescent="0.35">
      <c r="A149" s="2" t="s">
        <v>870</v>
      </c>
    </row>
    <row r="150" spans="1:1" ht="30.75" customHeight="1" x14ac:dyDescent="0.35">
      <c r="A150" s="2" t="s">
        <v>871</v>
      </c>
    </row>
    <row r="151" spans="1:1" ht="31" x14ac:dyDescent="0.35">
      <c r="A151" s="2" t="s">
        <v>872</v>
      </c>
    </row>
    <row r="152" spans="1:1" ht="31" x14ac:dyDescent="0.35">
      <c r="A152" s="2" t="s">
        <v>873</v>
      </c>
    </row>
    <row r="153" spans="1:1" ht="15.75" customHeight="1" x14ac:dyDescent="0.35">
      <c r="A153" s="2" t="s">
        <v>874</v>
      </c>
    </row>
    <row r="154" spans="1:1" ht="31.9" customHeight="1" x14ac:dyDescent="0.35">
      <c r="A154" s="2" t="s">
        <v>875</v>
      </c>
    </row>
    <row r="155" spans="1:1" ht="31.9" customHeight="1" x14ac:dyDescent="0.35">
      <c r="A155" s="2" t="s">
        <v>876</v>
      </c>
    </row>
    <row r="156" spans="1:1" x14ac:dyDescent="0.35">
      <c r="A156" s="2" t="s">
        <v>877</v>
      </c>
    </row>
    <row r="157" spans="1:1" x14ac:dyDescent="0.35">
      <c r="A157" s="2" t="s">
        <v>878</v>
      </c>
    </row>
    <row r="158" spans="1:1" x14ac:dyDescent="0.35">
      <c r="A158" s="2" t="s">
        <v>879</v>
      </c>
    </row>
    <row r="159" spans="1:1" ht="15" customHeight="1" x14ac:dyDescent="0.35">
      <c r="A159" s="2" t="s">
        <v>880</v>
      </c>
    </row>
    <row r="160" spans="1:1" x14ac:dyDescent="0.35">
      <c r="A160" s="2" t="s">
        <v>881</v>
      </c>
    </row>
    <row r="161" spans="1:1" ht="14.65" customHeight="1" x14ac:dyDescent="0.35">
      <c r="A161" s="2" t="s">
        <v>882</v>
      </c>
    </row>
    <row r="162" spans="1:1" ht="31" x14ac:dyDescent="0.35">
      <c r="A162" s="2" t="s">
        <v>883</v>
      </c>
    </row>
    <row r="163" spans="1:1" ht="31" x14ac:dyDescent="0.35">
      <c r="A163" s="2" t="s">
        <v>884</v>
      </c>
    </row>
    <row r="164" spans="1:1" x14ac:dyDescent="0.35">
      <c r="A164" s="2" t="s">
        <v>885</v>
      </c>
    </row>
    <row r="165" spans="1:1" x14ac:dyDescent="0.35">
      <c r="A165" s="2" t="s">
        <v>886</v>
      </c>
    </row>
    <row r="166" spans="1:1" x14ac:dyDescent="0.35">
      <c r="A166" s="2" t="s">
        <v>887</v>
      </c>
    </row>
    <row r="167" spans="1:1" ht="16.899999999999999" customHeight="1" x14ac:dyDescent="0.35">
      <c r="A167" s="2" t="s">
        <v>888</v>
      </c>
    </row>
    <row r="168" spans="1:1" x14ac:dyDescent="0.35">
      <c r="A168" s="2" t="s">
        <v>889</v>
      </c>
    </row>
    <row r="169" spans="1:1" x14ac:dyDescent="0.35">
      <c r="A169" s="2" t="s">
        <v>890</v>
      </c>
    </row>
    <row r="170" spans="1:1" x14ac:dyDescent="0.35">
      <c r="A170" s="2" t="s">
        <v>891</v>
      </c>
    </row>
    <row r="171" spans="1:1" x14ac:dyDescent="0.35">
      <c r="A171" s="2" t="s">
        <v>892</v>
      </c>
    </row>
    <row r="172" spans="1:1" x14ac:dyDescent="0.35">
      <c r="A172" s="2" t="s">
        <v>893</v>
      </c>
    </row>
    <row r="173" spans="1:1" x14ac:dyDescent="0.35">
      <c r="A173" s="2" t="s">
        <v>894</v>
      </c>
    </row>
    <row r="174" spans="1:1" x14ac:dyDescent="0.35">
      <c r="A174" s="2" t="s">
        <v>895</v>
      </c>
    </row>
    <row r="175" spans="1:1" x14ac:dyDescent="0.35">
      <c r="A175" s="2" t="s">
        <v>896</v>
      </c>
    </row>
    <row r="176" spans="1:1" ht="31" x14ac:dyDescent="0.35">
      <c r="A176" s="2" t="s">
        <v>897</v>
      </c>
    </row>
    <row r="177" spans="1:1" ht="31.9" customHeight="1" x14ac:dyDescent="0.35">
      <c r="A177" s="2" t="s">
        <v>898</v>
      </c>
    </row>
    <row r="178" spans="1:1" ht="31" x14ac:dyDescent="0.35">
      <c r="A178" s="2" t="s">
        <v>899</v>
      </c>
    </row>
    <row r="179" spans="1:1" ht="31" x14ac:dyDescent="0.35">
      <c r="A179" s="2" t="s">
        <v>900</v>
      </c>
    </row>
    <row r="180" spans="1:1" x14ac:dyDescent="0.35">
      <c r="A180" s="2" t="s">
        <v>901</v>
      </c>
    </row>
    <row r="181" spans="1:1" x14ac:dyDescent="0.35">
      <c r="A181" s="2" t="s">
        <v>902</v>
      </c>
    </row>
    <row r="182" spans="1:1" x14ac:dyDescent="0.35">
      <c r="A182" s="2" t="s">
        <v>903</v>
      </c>
    </row>
    <row r="183" spans="1:1" x14ac:dyDescent="0.35">
      <c r="A183" s="2" t="s">
        <v>904</v>
      </c>
    </row>
    <row r="184" spans="1:1" ht="31" x14ac:dyDescent="0.35">
      <c r="A184" s="2" t="s">
        <v>905</v>
      </c>
    </row>
    <row r="185" spans="1:1" ht="31" x14ac:dyDescent="0.35">
      <c r="A185" s="2" t="s">
        <v>906</v>
      </c>
    </row>
    <row r="186" spans="1:1" ht="31" x14ac:dyDescent="0.35">
      <c r="A186" s="2" t="s">
        <v>907</v>
      </c>
    </row>
    <row r="187" spans="1:1" ht="31" x14ac:dyDescent="0.35">
      <c r="A187" s="2" t="s">
        <v>908</v>
      </c>
    </row>
    <row r="188" spans="1:1" x14ac:dyDescent="0.35"/>
    <row r="189" spans="1:1" x14ac:dyDescent="0.35">
      <c r="A189" s="14" t="s">
        <v>770</v>
      </c>
    </row>
    <row r="190" spans="1:1" ht="93" x14ac:dyDescent="0.35">
      <c r="A190" s="15" t="s">
        <v>938</v>
      </c>
    </row>
    <row r="191" spans="1:1" x14ac:dyDescent="0.35">
      <c r="A191" s="18" t="s">
        <v>768</v>
      </c>
    </row>
    <row r="192" spans="1:1" x14ac:dyDescent="0.35">
      <c r="A192" s="18" t="s">
        <v>818</v>
      </c>
    </row>
    <row r="193" spans="1:1" x14ac:dyDescent="0.35">
      <c r="A193" s="18" t="s">
        <v>782</v>
      </c>
    </row>
    <row r="194" spans="1:1" x14ac:dyDescent="0.35">
      <c r="A194" s="20" t="s">
        <v>909</v>
      </c>
    </row>
    <row r="195" spans="1:1" x14ac:dyDescent="0.35">
      <c r="A195" s="18" t="s">
        <v>910</v>
      </c>
    </row>
    <row r="196" spans="1:1" x14ac:dyDescent="0.35">
      <c r="A196" s="18"/>
    </row>
    <row r="197" spans="1:1" ht="31" x14ac:dyDescent="0.35">
      <c r="A197" s="5" t="s">
        <v>771</v>
      </c>
    </row>
    <row r="198" spans="1:1" x14ac:dyDescent="0.35">
      <c r="A198" s="18" t="s">
        <v>745</v>
      </c>
    </row>
    <row r="199" spans="1:1" ht="93" x14ac:dyDescent="0.35">
      <c r="A199" s="5" t="s">
        <v>746</v>
      </c>
    </row>
    <row r="200" spans="1:1" x14ac:dyDescent="0.35">
      <c r="A200" s="4" t="s">
        <v>747</v>
      </c>
    </row>
    <row r="201" spans="1:1" ht="62" x14ac:dyDescent="0.35">
      <c r="A201" s="5" t="s">
        <v>748</v>
      </c>
    </row>
    <row r="202" spans="1:1" x14ac:dyDescent="0.35">
      <c r="A202" s="4" t="s">
        <v>749</v>
      </c>
    </row>
    <row r="203" spans="1:1" ht="46.5" x14ac:dyDescent="0.35">
      <c r="A203" s="10" t="s">
        <v>750</v>
      </c>
    </row>
    <row r="204" spans="1:1" x14ac:dyDescent="0.35">
      <c r="A204" s="4" t="s">
        <v>751</v>
      </c>
    </row>
    <row r="205" spans="1:1" ht="46.5" x14ac:dyDescent="0.35">
      <c r="A205" s="5" t="s">
        <v>752</v>
      </c>
    </row>
    <row r="206" spans="1:1" x14ac:dyDescent="0.35">
      <c r="A206" s="4" t="s">
        <v>753</v>
      </c>
    </row>
    <row r="207" spans="1:1" ht="77.5" x14ac:dyDescent="0.35">
      <c r="A207" s="5" t="s">
        <v>911</v>
      </c>
    </row>
    <row r="208" spans="1:1" x14ac:dyDescent="0.35">
      <c r="A208" s="4" t="s">
        <v>754</v>
      </c>
    </row>
    <row r="209" spans="1:1" ht="62" x14ac:dyDescent="0.35">
      <c r="A209" s="5" t="s">
        <v>759</v>
      </c>
    </row>
    <row r="210" spans="1:1" x14ac:dyDescent="0.35">
      <c r="A210" s="4" t="s">
        <v>755</v>
      </c>
    </row>
    <row r="211" spans="1:1" ht="77.5" x14ac:dyDescent="0.35">
      <c r="A211" s="5" t="s">
        <v>756</v>
      </c>
    </row>
    <row r="212" spans="1:1" x14ac:dyDescent="0.35"/>
    <row r="213" spans="1:1" x14ac:dyDescent="0.35">
      <c r="A213" s="14" t="s">
        <v>772</v>
      </c>
    </row>
    <row r="214" spans="1:1" ht="46.5" x14ac:dyDescent="0.35">
      <c r="A214" s="15" t="s">
        <v>939</v>
      </c>
    </row>
    <row r="215" spans="1:1" x14ac:dyDescent="0.35">
      <c r="A215" s="18" t="s">
        <v>768</v>
      </c>
    </row>
    <row r="216" spans="1:1" x14ac:dyDescent="0.35">
      <c r="A216" s="18" t="s">
        <v>818</v>
      </c>
    </row>
    <row r="217" spans="1:1" x14ac:dyDescent="0.35">
      <c r="A217" s="18" t="s">
        <v>782</v>
      </c>
    </row>
    <row r="218" spans="1:1" x14ac:dyDescent="0.35">
      <c r="A218" s="18" t="s">
        <v>912</v>
      </c>
    </row>
    <row r="219" spans="1:1" x14ac:dyDescent="0.35">
      <c r="A219" s="20" t="s">
        <v>909</v>
      </c>
    </row>
    <row r="220" spans="1:1" x14ac:dyDescent="0.35">
      <c r="A220" s="18"/>
    </row>
    <row r="221" spans="1:1" x14ac:dyDescent="0.35">
      <c r="A221" s="18" t="s">
        <v>757</v>
      </c>
    </row>
    <row r="222" spans="1:1" x14ac:dyDescent="0.35">
      <c r="A222" s="15" t="s">
        <v>913</v>
      </c>
    </row>
    <row r="223" spans="1:1" x14ac:dyDescent="0.35">
      <c r="A223" s="15" t="s">
        <v>914</v>
      </c>
    </row>
    <row r="224" spans="1:1" x14ac:dyDescent="0.35">
      <c r="A224" s="15" t="s">
        <v>915</v>
      </c>
    </row>
    <row r="225" spans="1:1" x14ac:dyDescent="0.35">
      <c r="A225" s="18" t="s">
        <v>916</v>
      </c>
    </row>
    <row r="226" spans="1:1" x14ac:dyDescent="0.35">
      <c r="A226" s="18" t="s">
        <v>917</v>
      </c>
    </row>
    <row r="227" spans="1:1" x14ac:dyDescent="0.35">
      <c r="A227" s="18" t="s">
        <v>918</v>
      </c>
    </row>
    <row r="228" spans="1:1" x14ac:dyDescent="0.35">
      <c r="A228" s="18" t="s">
        <v>919</v>
      </c>
    </row>
    <row r="229" spans="1:1" x14ac:dyDescent="0.35">
      <c r="A229" s="18" t="s">
        <v>920</v>
      </c>
    </row>
    <row r="230" spans="1:1" x14ac:dyDescent="0.35">
      <c r="A230" s="18" t="s">
        <v>921</v>
      </c>
    </row>
    <row r="231" spans="1:1" ht="22" customHeight="1" x14ac:dyDescent="0.35">
      <c r="A231" s="18" t="s">
        <v>922</v>
      </c>
    </row>
    <row r="232" spans="1:1" x14ac:dyDescent="0.35">
      <c r="A232" s="18"/>
    </row>
    <row r="233" spans="1:1" x14ac:dyDescent="0.35">
      <c r="A233" s="18" t="s">
        <v>758</v>
      </c>
    </row>
    <row r="234" spans="1:1" x14ac:dyDescent="0.35">
      <c r="A234" s="15" t="s">
        <v>923</v>
      </c>
    </row>
    <row r="235" spans="1:1" x14ac:dyDescent="0.35">
      <c r="A235" s="15" t="s">
        <v>924</v>
      </c>
    </row>
    <row r="236" spans="1:1" x14ac:dyDescent="0.35">
      <c r="A236" s="15" t="s">
        <v>925</v>
      </c>
    </row>
    <row r="237" spans="1:1" x14ac:dyDescent="0.35">
      <c r="A237" s="18" t="s">
        <v>926</v>
      </c>
    </row>
    <row r="238" spans="1:1" x14ac:dyDescent="0.35">
      <c r="A238" s="18" t="s">
        <v>927</v>
      </c>
    </row>
    <row r="239" spans="1:1" x14ac:dyDescent="0.35">
      <c r="A239" s="18" t="s">
        <v>928</v>
      </c>
    </row>
    <row r="240" spans="1:1" x14ac:dyDescent="0.35">
      <c r="A240" s="18" t="s">
        <v>929</v>
      </c>
    </row>
    <row r="241" spans="1:1" x14ac:dyDescent="0.35">
      <c r="A241" s="18" t="s">
        <v>930</v>
      </c>
    </row>
    <row r="242" spans="1:1" x14ac:dyDescent="0.35">
      <c r="A242" s="18" t="s">
        <v>931</v>
      </c>
    </row>
    <row r="243" spans="1:1" x14ac:dyDescent="0.35">
      <c r="A243" s="18" t="s">
        <v>932</v>
      </c>
    </row>
  </sheetData>
  <sheetProtection algorithmName="SHA-512" hashValue="0GLNrxpZB/6Pt5xgNabyHfsY4vZAH5i1ee1xIsQ/Ohhbh8bb7o1X/hAm48x6lF6h/HNWQk439EY+7K/Myq/DWw==" saltValue="a+uEEb+pD/PIx8Lk8dyjpw==" spinCount="100000" sheet="1" objects="1" scenarios="1"/>
  <pageMargins left="0.7" right="0.7" top="0.75" bottom="0.75" header="0.3" footer="0.3"/>
  <pageSetup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D383260A28E47ABA6F3EE0B9EF7FF" ma:contentTypeVersion="10" ma:contentTypeDescription="Create a new document." ma:contentTypeScope="" ma:versionID="f57c93bde65d7c4da5a49ec35c47762c">
  <xsd:schema xmlns:xsd="http://www.w3.org/2001/XMLSchema" xmlns:xs="http://www.w3.org/2001/XMLSchema" xmlns:p="http://schemas.microsoft.com/office/2006/metadata/properties" xmlns:ns2="75d90484-7fd9-4391-a579-e6407f110343" xmlns:ns3="916e2c6f-7716-484a-9f06-7a80088ea94f" targetNamespace="http://schemas.microsoft.com/office/2006/metadata/properties" ma:root="true" ma:fieldsID="e184ed5d94e44c6a7564461fa75b90b5" ns2:_="" ns3:_="">
    <xsd:import namespace="75d90484-7fd9-4391-a579-e6407f110343"/>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d90484-7fd9-4391-a579-e6407f110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d90484-7fd9-4391-a579-e6407f110343">
      <Terms xmlns="http://schemas.microsoft.com/office/infopath/2007/PartnerControls"/>
    </lcf76f155ced4ddcb4097134ff3c332f>
    <TaxCatchAll xmlns="916e2c6f-7716-484a-9f06-7a80088ea94f" xsi:nil="true"/>
  </documentManagement>
</p:properties>
</file>

<file path=customXml/itemProps1.xml><?xml version="1.0" encoding="utf-8"?>
<ds:datastoreItem xmlns:ds="http://schemas.openxmlformats.org/officeDocument/2006/customXml" ds:itemID="{4861ED2C-FD1F-4735-B03C-3FF001DF705F}">
  <ds:schemaRefs>
    <ds:schemaRef ds:uri="http://schemas.microsoft.com/sharepoint/v3/contenttype/forms"/>
  </ds:schemaRefs>
</ds:datastoreItem>
</file>

<file path=customXml/itemProps2.xml><?xml version="1.0" encoding="utf-8"?>
<ds:datastoreItem xmlns:ds="http://schemas.openxmlformats.org/officeDocument/2006/customXml" ds:itemID="{9D0B9BC7-101B-4DEC-B0AB-596B93196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d90484-7fd9-4391-a579-e6407f110343"/>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074E31-98AF-4BB3-8239-80DA6CEF17B8}">
  <ds:schemaRefs>
    <ds:schemaRef ds:uri="75d90484-7fd9-4391-a579-e6407f110343"/>
    <ds:schemaRef ds:uri="http://purl.org/dc/dcmitype/"/>
    <ds:schemaRef ds:uri="916e2c6f-7716-484a-9f06-7a80088ea94f"/>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Rate-Based Data</vt:lpstr>
      <vt:lpstr>J1979-2 Rate-Based Data</vt:lpstr>
      <vt:lpstr>SMAD</vt:lpstr>
      <vt:lpstr>REAL NOx Data</vt:lpstr>
      <vt:lpstr>REAL GHG Data</vt:lpstr>
      <vt:lpstr>OBD Snapshot Data</vt:lpstr>
      <vt:lpstr>Diesel CSERS Tracking Data</vt:lpstr>
      <vt:lpstr>Instructions</vt:lpstr>
      <vt:lpstr>'Rate-Based Data'!BoostDen_Range</vt:lpstr>
      <vt:lpstr>'Rate-Based Data'!EGR_VVTDen_Range</vt:lpstr>
      <vt:lpstr>'Rate-Based Data'!ExhGasSenDen</vt:lpstr>
      <vt:lpstr>'Rate-Based Data'!ExhGasSenNum</vt:lpstr>
      <vt:lpstr>'Rate-Based Data'!FuelSysDen_Range</vt:lpstr>
      <vt:lpstr>'Rate-Based Data'!GenD_Range</vt:lpstr>
      <vt:lpstr>'Rate-Based Data'!Ign_Range</vt:lpstr>
      <vt:lpstr>'Rate-Based Data'!NMHCCatDen_Range</vt:lpstr>
      <vt:lpstr>'Rate-Based Data'!NMHCCatNum_Range</vt:lpstr>
      <vt:lpstr>'Rate-Based Data'!NOxAdsDen_Range</vt:lpstr>
      <vt:lpstr>'Rate-Based Data'!NOxAdsNum_Range</vt:lpstr>
      <vt:lpstr>'Rate-Based Data'!NOxCatDen_Range</vt:lpstr>
      <vt:lpstr>'Rate-Based Data'!NOxCatNum_Range</vt:lpstr>
      <vt:lpstr>'Rate-Based Data'!ODO_Range</vt:lpstr>
      <vt:lpstr>'Rate-Based Data'!PHEV_Ign_Range</vt:lpstr>
      <vt:lpstr>'Rate-Based Data'!PMFltrDen_Range</vt:lpstr>
      <vt:lpstr>'Rate-Based Data'!PMFltrlNum_Range</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dc:creator>
  <cp:keywords/>
  <dc:description/>
  <cp:lastModifiedBy>Naidu, Aaron@ARB</cp:lastModifiedBy>
  <cp:revision/>
  <dcterms:created xsi:type="dcterms:W3CDTF">2010-12-09T01:12:47Z</dcterms:created>
  <dcterms:modified xsi:type="dcterms:W3CDTF">2023-08-11T18:29:10Z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0x010100243D383260A28E47ABA6F3EE0B9EF7FF</vt:lpwstr>
  </property>
  <property fmtid="{D5CDD505-2E9C-101B-9397-08002B2CF9AE}" pid="3" name="MediaServiceImageTags">
    <vt:lpwstr/>
  </property>
</Properties>
</file>