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mvacaru\OneDrive - California Air Resources Board\Desktop\ADA\welding\"/>
    </mc:Choice>
  </mc:AlternateContent>
  <xr:revisionPtr revIDLastSave="0" documentId="13_ncr:1_{957E5879-72E0-4C7B-86ED-29BEAFDCB3F7}" xr6:coauthVersionLast="46" xr6:coauthVersionMax="46" xr10:uidLastSave="{00000000-0000-0000-0000-000000000000}"/>
  <bookViews>
    <workbookView xWindow="-108" yWindow="-108" windowWidth="23256" windowHeight="12576" tabRatio="750" activeTab="4" xr2:uid="{00000000-000D-0000-FFFF-FFFF00000000}"/>
  </bookViews>
  <sheets>
    <sheet name="Total Tests" sheetId="19" r:id="rId1"/>
    <sheet name="Cr(VI) results" sheetId="18" r:id="rId2"/>
    <sheet name="PM2.5" sheetId="15" r:id="rId3"/>
    <sheet name="Gas Tests" sheetId="8" r:id="rId4"/>
    <sheet name="Emmsn Factrs" sheetId="17" r:id="rId5"/>
    <sheet name="AWS Calib" sheetId="22" r:id="rId6"/>
    <sheet name="Wire" sheetId="13" r:id="rId7"/>
    <sheet name="FGR vs Size" sheetId="24" r:id="rId8"/>
    <sheet name="SteelCrVIRslt" sheetId="23" r:id="rId9"/>
    <sheet name="EmissionFactorSummaryTable" sheetId="25" r:id="rId10"/>
  </sheets>
  <definedNames>
    <definedName name="_xlnm.Print_Area" localSheetId="9">EmissionFactorSummaryTable!$B$1:$H$22</definedName>
    <definedName name="_xlnm.Print_Area" localSheetId="4">'Emmsn Factrs'!$A$1:$P$285</definedName>
    <definedName name="_xlnm.Print_Area" localSheetId="3">'Gas Tests'!$A$1:$O$63</definedName>
    <definedName name="_xlnm.Print_Area" localSheetId="8">SteelCrVIRslt!$A$1:$W$79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22" l="1"/>
  <c r="E11" i="22"/>
  <c r="E12" i="22"/>
  <c r="E15" i="22"/>
  <c r="E16" i="22"/>
  <c r="E17" i="22"/>
  <c r="E18" i="22"/>
  <c r="E19" i="22"/>
  <c r="E20" i="22"/>
  <c r="E21" i="22"/>
  <c r="E24" i="22"/>
  <c r="E25" i="22"/>
  <c r="E28" i="22"/>
  <c r="E29" i="22"/>
  <c r="H8" i="18"/>
  <c r="H9" i="18"/>
  <c r="H10" i="18"/>
  <c r="H11" i="18"/>
  <c r="M8" i="18"/>
  <c r="K11" i="18"/>
  <c r="N8" i="18"/>
  <c r="O8" i="18"/>
  <c r="Q8" i="18"/>
  <c r="L9" i="18"/>
  <c r="L12" i="18"/>
  <c r="H13" i="18"/>
  <c r="H14" i="18"/>
  <c r="H15" i="18"/>
  <c r="H16" i="18"/>
  <c r="M13" i="18"/>
  <c r="K16" i="18"/>
  <c r="N13" i="18"/>
  <c r="O13" i="18"/>
  <c r="Q13" i="18"/>
  <c r="L14" i="18"/>
  <c r="L17" i="18"/>
  <c r="H18" i="18"/>
  <c r="H19" i="18"/>
  <c r="H20" i="18"/>
  <c r="H21" i="18"/>
  <c r="M18" i="18"/>
  <c r="K21" i="18"/>
  <c r="N18" i="18"/>
  <c r="O18" i="18"/>
  <c r="Q18" i="18"/>
  <c r="L19" i="18"/>
  <c r="L22" i="18"/>
  <c r="H23" i="18"/>
  <c r="H24" i="18"/>
  <c r="H25" i="18"/>
  <c r="H26" i="18"/>
  <c r="M23" i="18"/>
  <c r="J24" i="18"/>
  <c r="L24" i="18"/>
  <c r="K26" i="18"/>
  <c r="N23" i="18"/>
  <c r="O23" i="18"/>
  <c r="Q23" i="18"/>
  <c r="L27" i="18"/>
  <c r="H28" i="18"/>
  <c r="H29" i="18"/>
  <c r="H30" i="18"/>
  <c r="H31" i="18"/>
  <c r="M28" i="18"/>
  <c r="L29" i="18"/>
  <c r="K31" i="18"/>
  <c r="N28" i="18"/>
  <c r="O28" i="18"/>
  <c r="Q28" i="18"/>
  <c r="L32" i="18"/>
  <c r="H33" i="18"/>
  <c r="H34" i="18"/>
  <c r="H35" i="18"/>
  <c r="H36" i="18"/>
  <c r="M33" i="18"/>
  <c r="L34" i="18"/>
  <c r="K36" i="18"/>
  <c r="N33" i="18"/>
  <c r="O33" i="18"/>
  <c r="Q33" i="18"/>
  <c r="L37" i="18"/>
  <c r="H38" i="18"/>
  <c r="H39" i="18"/>
  <c r="H40" i="18"/>
  <c r="H41" i="18"/>
  <c r="M38" i="18"/>
  <c r="K41" i="18"/>
  <c r="N38" i="18"/>
  <c r="O38" i="18"/>
  <c r="Q38" i="18"/>
  <c r="H43" i="18"/>
  <c r="H44" i="18"/>
  <c r="H45" i="18"/>
  <c r="H46" i="18"/>
  <c r="M43" i="18"/>
  <c r="K46" i="18"/>
  <c r="N43" i="18"/>
  <c r="O43" i="18"/>
  <c r="Q43" i="18"/>
  <c r="H48" i="18"/>
  <c r="H49" i="18"/>
  <c r="H50" i="18"/>
  <c r="H51" i="18"/>
  <c r="M48" i="18"/>
  <c r="K51" i="18"/>
  <c r="N48" i="18"/>
  <c r="O48" i="18"/>
  <c r="Q48" i="18"/>
  <c r="H53" i="18"/>
  <c r="H54" i="18"/>
  <c r="H55" i="18"/>
  <c r="H56" i="18"/>
  <c r="M53" i="18"/>
  <c r="L54" i="18"/>
  <c r="K56" i="18"/>
  <c r="N53" i="18"/>
  <c r="O53" i="18"/>
  <c r="Q53" i="18"/>
  <c r="L57" i="18"/>
  <c r="H72" i="18"/>
  <c r="H73" i="18"/>
  <c r="H74" i="18"/>
  <c r="H75" i="18"/>
  <c r="M72" i="18"/>
  <c r="J73" i="18"/>
  <c r="L73" i="18"/>
  <c r="K75" i="18"/>
  <c r="N72" i="18"/>
  <c r="O72" i="18"/>
  <c r="Q72" i="18"/>
  <c r="T72" i="18"/>
  <c r="U72" i="18"/>
  <c r="Q73" i="18"/>
  <c r="L76" i="18"/>
  <c r="H77" i="18"/>
  <c r="H78" i="18"/>
  <c r="H79" i="18"/>
  <c r="H80" i="18"/>
  <c r="M77" i="18"/>
  <c r="L78" i="18"/>
  <c r="K80" i="18"/>
  <c r="N77" i="18"/>
  <c r="O77" i="18"/>
  <c r="Q77" i="18"/>
  <c r="T77" i="18"/>
  <c r="U77" i="18"/>
  <c r="Q78" i="18"/>
  <c r="L81" i="18"/>
  <c r="H82" i="18"/>
  <c r="H83" i="18"/>
  <c r="H84" i="18"/>
  <c r="H85" i="18"/>
  <c r="M82" i="18"/>
  <c r="J83" i="18"/>
  <c r="L83" i="18"/>
  <c r="K85" i="18"/>
  <c r="N82" i="18"/>
  <c r="O82" i="18"/>
  <c r="Q82" i="18"/>
  <c r="T82" i="18"/>
  <c r="U82" i="18"/>
  <c r="Q83" i="18"/>
  <c r="L86" i="18"/>
  <c r="H87" i="18"/>
  <c r="H88" i="18"/>
  <c r="H89" i="18"/>
  <c r="H90" i="18"/>
  <c r="M87" i="18"/>
  <c r="J88" i="18"/>
  <c r="L88" i="18"/>
  <c r="K90" i="18"/>
  <c r="N87" i="18"/>
  <c r="O87" i="18"/>
  <c r="Q87" i="18"/>
  <c r="L91" i="18"/>
  <c r="H92" i="18"/>
  <c r="H93" i="18"/>
  <c r="H94" i="18"/>
  <c r="H95" i="18"/>
  <c r="M92" i="18"/>
  <c r="I93" i="18"/>
  <c r="K95" i="18"/>
  <c r="N92" i="18"/>
  <c r="O92" i="18"/>
  <c r="Q92" i="18"/>
  <c r="S92" i="18"/>
  <c r="S93" i="18"/>
  <c r="S94" i="18"/>
  <c r="S95" i="18"/>
  <c r="T92" i="18"/>
  <c r="U92" i="18"/>
  <c r="H97" i="18"/>
  <c r="H98" i="18"/>
  <c r="H99" i="18"/>
  <c r="H100" i="18"/>
  <c r="M97" i="18"/>
  <c r="J98" i="18"/>
  <c r="L98" i="18"/>
  <c r="K100" i="18"/>
  <c r="N97" i="18"/>
  <c r="O97" i="18"/>
  <c r="Q97" i="18"/>
  <c r="T97" i="18"/>
  <c r="U97" i="18"/>
  <c r="L101" i="18"/>
  <c r="H102" i="18"/>
  <c r="H103" i="18"/>
  <c r="H104" i="18"/>
  <c r="H105" i="18"/>
  <c r="M102" i="18"/>
  <c r="J103" i="18"/>
  <c r="L103" i="18"/>
  <c r="K105" i="18"/>
  <c r="N102" i="18"/>
  <c r="O102" i="18"/>
  <c r="Q102" i="18"/>
  <c r="T102" i="18"/>
  <c r="U102" i="18"/>
  <c r="L106" i="18"/>
  <c r="H107" i="18"/>
  <c r="H108" i="18"/>
  <c r="H109" i="18"/>
  <c r="H110" i="18"/>
  <c r="M107" i="18"/>
  <c r="I108" i="18"/>
  <c r="J108" i="18"/>
  <c r="L108" i="18"/>
  <c r="K110" i="18"/>
  <c r="N107" i="18"/>
  <c r="O107" i="18"/>
  <c r="Q107" i="18"/>
  <c r="T107" i="18"/>
  <c r="L111" i="18"/>
  <c r="H112" i="18"/>
  <c r="H113" i="18"/>
  <c r="H114" i="18"/>
  <c r="H115" i="18"/>
  <c r="M112" i="18"/>
  <c r="I113" i="18"/>
  <c r="J113" i="18"/>
  <c r="L113" i="18"/>
  <c r="K115" i="18"/>
  <c r="N112" i="18"/>
  <c r="O112" i="18"/>
  <c r="Q112" i="18"/>
  <c r="T112" i="18"/>
  <c r="L116" i="18"/>
  <c r="H117" i="18"/>
  <c r="H118" i="18"/>
  <c r="H119" i="18"/>
  <c r="H120" i="18"/>
  <c r="M117" i="18"/>
  <c r="I118" i="18"/>
  <c r="J118" i="18"/>
  <c r="L118" i="18"/>
  <c r="K120" i="18"/>
  <c r="N117" i="18"/>
  <c r="O117" i="18"/>
  <c r="Q117" i="18"/>
  <c r="T117" i="18"/>
  <c r="L121" i="18"/>
  <c r="H136" i="18"/>
  <c r="H137" i="18"/>
  <c r="H138" i="18"/>
  <c r="H139" i="18"/>
  <c r="M136" i="18"/>
  <c r="J137" i="18"/>
  <c r="L137" i="18"/>
  <c r="K139" i="18"/>
  <c r="N136" i="18"/>
  <c r="O136" i="18"/>
  <c r="Q136" i="18"/>
  <c r="T136" i="18"/>
  <c r="U136" i="18"/>
  <c r="L140" i="18"/>
  <c r="H141" i="18"/>
  <c r="H142" i="18"/>
  <c r="H143" i="18"/>
  <c r="H144" i="18"/>
  <c r="M141" i="18"/>
  <c r="J142" i="18"/>
  <c r="L142" i="18"/>
  <c r="K144" i="18"/>
  <c r="N141" i="18"/>
  <c r="O141" i="18"/>
  <c r="Q141" i="18"/>
  <c r="T141" i="18"/>
  <c r="U141" i="18"/>
  <c r="L145" i="18"/>
  <c r="H146" i="18"/>
  <c r="H147" i="18"/>
  <c r="H148" i="18"/>
  <c r="H149" i="18"/>
  <c r="M146" i="18"/>
  <c r="J147" i="18"/>
  <c r="L147" i="18"/>
  <c r="K149" i="18"/>
  <c r="N146" i="18"/>
  <c r="O146" i="18"/>
  <c r="Q146" i="18"/>
  <c r="T146" i="18"/>
  <c r="U146" i="18"/>
  <c r="L150" i="18"/>
  <c r="H151" i="18"/>
  <c r="H152" i="18"/>
  <c r="H153" i="18"/>
  <c r="H154" i="18"/>
  <c r="M151" i="18"/>
  <c r="J152" i="18"/>
  <c r="L152" i="18"/>
  <c r="K154" i="18"/>
  <c r="N151" i="18"/>
  <c r="O151" i="18"/>
  <c r="Q151" i="18"/>
  <c r="T151" i="18"/>
  <c r="U151" i="18"/>
  <c r="L155" i="18"/>
  <c r="H156" i="18"/>
  <c r="H157" i="18"/>
  <c r="H158" i="18"/>
  <c r="H159" i="18"/>
  <c r="M156" i="18"/>
  <c r="J157" i="18"/>
  <c r="L157" i="18"/>
  <c r="K159" i="18"/>
  <c r="N156" i="18"/>
  <c r="O156" i="18"/>
  <c r="Q156" i="18"/>
  <c r="T156" i="18"/>
  <c r="U156" i="18"/>
  <c r="L160" i="18"/>
  <c r="H161" i="18"/>
  <c r="H162" i="18"/>
  <c r="H163" i="18"/>
  <c r="H164" i="18"/>
  <c r="M161" i="18"/>
  <c r="J162" i="18"/>
  <c r="L162" i="18"/>
  <c r="K164" i="18"/>
  <c r="N161" i="18"/>
  <c r="O161" i="18"/>
  <c r="Q161" i="18"/>
  <c r="L165" i="18"/>
  <c r="H166" i="18"/>
  <c r="H167" i="18"/>
  <c r="H168" i="18"/>
  <c r="H169" i="18"/>
  <c r="M166" i="18"/>
  <c r="I167" i="18"/>
  <c r="J167" i="18"/>
  <c r="L167" i="18"/>
  <c r="K169" i="18"/>
  <c r="N166" i="18"/>
  <c r="O166" i="18"/>
  <c r="Q166" i="18"/>
  <c r="L170" i="18"/>
  <c r="H171" i="18"/>
  <c r="H172" i="18"/>
  <c r="H173" i="18"/>
  <c r="H174" i="18"/>
  <c r="M171" i="18"/>
  <c r="I172" i="18"/>
  <c r="J172" i="18"/>
  <c r="L172" i="18"/>
  <c r="K174" i="18"/>
  <c r="N171" i="18"/>
  <c r="O171" i="18"/>
  <c r="Q171" i="18"/>
  <c r="L175" i="18"/>
  <c r="H176" i="18"/>
  <c r="H177" i="18"/>
  <c r="H178" i="18"/>
  <c r="H179" i="18"/>
  <c r="M176" i="18"/>
  <c r="I177" i="18"/>
  <c r="J177" i="18"/>
  <c r="L177" i="18"/>
  <c r="K179" i="18"/>
  <c r="N176" i="18"/>
  <c r="O176" i="18"/>
  <c r="Q176" i="18"/>
  <c r="T176" i="18"/>
  <c r="U176" i="18"/>
  <c r="L180" i="18"/>
  <c r="H181" i="18"/>
  <c r="H182" i="18"/>
  <c r="H183" i="18"/>
  <c r="H184" i="18"/>
  <c r="M181" i="18"/>
  <c r="I182" i="18"/>
  <c r="J182" i="18"/>
  <c r="L182" i="18"/>
  <c r="K184" i="18"/>
  <c r="N181" i="18"/>
  <c r="O181" i="18"/>
  <c r="Q181" i="18"/>
  <c r="T181" i="18"/>
  <c r="U181" i="18"/>
  <c r="L185" i="18"/>
  <c r="H201" i="18"/>
  <c r="H202" i="18"/>
  <c r="H203" i="18"/>
  <c r="H200" i="18"/>
  <c r="M200" i="18"/>
  <c r="I201" i="18"/>
  <c r="J201" i="18"/>
  <c r="L201" i="18"/>
  <c r="K203" i="18"/>
  <c r="N200" i="18"/>
  <c r="O200" i="18"/>
  <c r="Q200" i="18"/>
  <c r="L204" i="18"/>
  <c r="H205" i="18"/>
  <c r="H206" i="18"/>
  <c r="H207" i="18"/>
  <c r="H208" i="18"/>
  <c r="M205" i="18"/>
  <c r="I206" i="18"/>
  <c r="J206" i="18"/>
  <c r="L206" i="18"/>
  <c r="K208" i="18"/>
  <c r="N205" i="18"/>
  <c r="O205" i="18"/>
  <c r="Q205" i="18"/>
  <c r="L209" i="18"/>
  <c r="H210" i="18"/>
  <c r="H211" i="18"/>
  <c r="H212" i="18"/>
  <c r="H213" i="18"/>
  <c r="M210" i="18"/>
  <c r="I211" i="18"/>
  <c r="J211" i="18"/>
  <c r="L211" i="18"/>
  <c r="K213" i="18"/>
  <c r="N210" i="18"/>
  <c r="O210" i="18"/>
  <c r="Q210" i="18"/>
  <c r="L214" i="18"/>
  <c r="H216" i="18"/>
  <c r="H217" i="18"/>
  <c r="H218" i="18"/>
  <c r="H215" i="18"/>
  <c r="M215" i="18"/>
  <c r="I216" i="18"/>
  <c r="J216" i="18"/>
  <c r="L216" i="18"/>
  <c r="K218" i="18"/>
  <c r="N215" i="18"/>
  <c r="O215" i="18"/>
  <c r="Q215" i="18"/>
  <c r="L219" i="18"/>
  <c r="H220" i="18"/>
  <c r="H221" i="18"/>
  <c r="H222" i="18"/>
  <c r="H223" i="18"/>
  <c r="M220" i="18"/>
  <c r="I221" i="18"/>
  <c r="J221" i="18"/>
  <c r="L221" i="18"/>
  <c r="K223" i="18"/>
  <c r="N220" i="18"/>
  <c r="O220" i="18"/>
  <c r="Q220" i="18"/>
  <c r="L224" i="18"/>
  <c r="H225" i="18"/>
  <c r="H226" i="18"/>
  <c r="H227" i="18"/>
  <c r="H228" i="18"/>
  <c r="M225" i="18"/>
  <c r="J226" i="18"/>
  <c r="L226" i="18"/>
  <c r="K228" i="18"/>
  <c r="N225" i="18"/>
  <c r="O225" i="18"/>
  <c r="Q225" i="18"/>
  <c r="L229" i="18"/>
  <c r="H230" i="18"/>
  <c r="H231" i="18"/>
  <c r="H232" i="18"/>
  <c r="H233" i="18"/>
  <c r="M230" i="18"/>
  <c r="I231" i="18"/>
  <c r="J231" i="18"/>
  <c r="L231" i="18"/>
  <c r="K233" i="18"/>
  <c r="N230" i="18"/>
  <c r="O230" i="18"/>
  <c r="Q230" i="18"/>
  <c r="T230" i="18"/>
  <c r="U230" i="18"/>
  <c r="L234" i="18"/>
  <c r="H235" i="18"/>
  <c r="H236" i="18"/>
  <c r="H237" i="18"/>
  <c r="H238" i="18"/>
  <c r="M235" i="18"/>
  <c r="I236" i="18"/>
  <c r="J236" i="18"/>
  <c r="L236" i="18"/>
  <c r="K238" i="18"/>
  <c r="N235" i="18"/>
  <c r="O235" i="18"/>
  <c r="Q235" i="18"/>
  <c r="T235" i="18"/>
  <c r="U235" i="18"/>
  <c r="L239" i="18"/>
  <c r="H240" i="18"/>
  <c r="H241" i="18"/>
  <c r="H242" i="18"/>
  <c r="H243" i="18"/>
  <c r="M240" i="18"/>
  <c r="I241" i="18"/>
  <c r="J241" i="18"/>
  <c r="L241" i="18"/>
  <c r="K243" i="18"/>
  <c r="N240" i="18"/>
  <c r="O240" i="18"/>
  <c r="Q240" i="18"/>
  <c r="T240" i="18"/>
  <c r="U240" i="18"/>
  <c r="L244" i="18"/>
  <c r="H245" i="18"/>
  <c r="H246" i="18"/>
  <c r="H247" i="18"/>
  <c r="H248" i="18"/>
  <c r="M245" i="18"/>
  <c r="I246" i="18"/>
  <c r="J246" i="18"/>
  <c r="L246" i="18"/>
  <c r="K248" i="18"/>
  <c r="N245" i="18"/>
  <c r="O245" i="18"/>
  <c r="Q245" i="18"/>
  <c r="T245" i="18"/>
  <c r="U245" i="18"/>
  <c r="L249" i="18"/>
  <c r="H265" i="18"/>
  <c r="H266" i="18"/>
  <c r="H267" i="18"/>
  <c r="H268" i="18"/>
  <c r="M265" i="18"/>
  <c r="I266" i="18"/>
  <c r="J266" i="18"/>
  <c r="L266" i="18"/>
  <c r="K268" i="18"/>
  <c r="N265" i="18"/>
  <c r="O265" i="18"/>
  <c r="Q265" i="18"/>
  <c r="T265" i="18"/>
  <c r="U265" i="18"/>
  <c r="L269" i="18"/>
  <c r="H270" i="18"/>
  <c r="H271" i="18"/>
  <c r="H272" i="18"/>
  <c r="H273" i="18"/>
  <c r="M270" i="18"/>
  <c r="J271" i="18"/>
  <c r="L271" i="18"/>
  <c r="K273" i="18"/>
  <c r="N270" i="18"/>
  <c r="O270" i="18"/>
  <c r="Q270" i="18"/>
  <c r="T270" i="18"/>
  <c r="U270" i="18"/>
  <c r="L274" i="18"/>
  <c r="H275" i="18"/>
  <c r="H276" i="18"/>
  <c r="H277" i="18"/>
  <c r="H278" i="18"/>
  <c r="M275" i="18"/>
  <c r="J276" i="18"/>
  <c r="L276" i="18"/>
  <c r="K278" i="18"/>
  <c r="N275" i="18"/>
  <c r="O275" i="18"/>
  <c r="Q275" i="18"/>
  <c r="T275" i="18"/>
  <c r="U275" i="18"/>
  <c r="L279" i="18"/>
  <c r="H280" i="18"/>
  <c r="H281" i="18"/>
  <c r="H282" i="18"/>
  <c r="H283" i="18"/>
  <c r="M280" i="18"/>
  <c r="J281" i="18"/>
  <c r="L281" i="18"/>
  <c r="K283" i="18"/>
  <c r="N280" i="18"/>
  <c r="O280" i="18"/>
  <c r="Q280" i="18"/>
  <c r="T280" i="18"/>
  <c r="U280" i="18"/>
  <c r="L284" i="18"/>
  <c r="H285" i="18"/>
  <c r="H286" i="18"/>
  <c r="H287" i="18"/>
  <c r="H288" i="18"/>
  <c r="M285" i="18"/>
  <c r="I286" i="18"/>
  <c r="J286" i="18"/>
  <c r="L286" i="18"/>
  <c r="K288" i="18"/>
  <c r="N285" i="18"/>
  <c r="O285" i="18"/>
  <c r="Q285" i="18"/>
  <c r="T285" i="18"/>
  <c r="U285" i="18"/>
  <c r="L289" i="18"/>
  <c r="H290" i="18"/>
  <c r="H291" i="18"/>
  <c r="H292" i="18"/>
  <c r="H293" i="18"/>
  <c r="M290" i="18"/>
  <c r="I291" i="18"/>
  <c r="J291" i="18"/>
  <c r="L291" i="18"/>
  <c r="K293" i="18"/>
  <c r="N290" i="18"/>
  <c r="O290" i="18"/>
  <c r="Q290" i="18"/>
  <c r="T290" i="18"/>
  <c r="U290" i="18"/>
  <c r="L294" i="18"/>
  <c r="H295" i="18"/>
  <c r="H296" i="18"/>
  <c r="H297" i="18"/>
  <c r="H298" i="18"/>
  <c r="M295" i="18"/>
  <c r="I296" i="18"/>
  <c r="J296" i="18"/>
  <c r="L296" i="18"/>
  <c r="K298" i="18"/>
  <c r="N295" i="18"/>
  <c r="O295" i="18"/>
  <c r="Q295" i="18"/>
  <c r="T295" i="18"/>
  <c r="U295" i="18"/>
  <c r="L299" i="18"/>
  <c r="H300" i="18"/>
  <c r="H301" i="18"/>
  <c r="H302" i="18"/>
  <c r="H303" i="18"/>
  <c r="M300" i="18"/>
  <c r="I301" i="18"/>
  <c r="J301" i="18"/>
  <c r="L301" i="18"/>
  <c r="K303" i="18"/>
  <c r="N300" i="18"/>
  <c r="O300" i="18"/>
  <c r="Q300" i="18"/>
  <c r="T300" i="18"/>
  <c r="U300" i="18"/>
  <c r="L304" i="18"/>
  <c r="H305" i="18"/>
  <c r="H306" i="18"/>
  <c r="H307" i="18"/>
  <c r="H308" i="18"/>
  <c r="M305" i="18"/>
  <c r="I306" i="18"/>
  <c r="J306" i="18"/>
  <c r="L306" i="18"/>
  <c r="K308" i="18"/>
  <c r="N305" i="18"/>
  <c r="O305" i="18"/>
  <c r="Q305" i="18"/>
  <c r="T305" i="18"/>
  <c r="U305" i="18"/>
  <c r="L309" i="18"/>
  <c r="H310" i="18"/>
  <c r="H311" i="18"/>
  <c r="H312" i="18"/>
  <c r="H313" i="18"/>
  <c r="M310" i="18"/>
  <c r="I311" i="18"/>
  <c r="J311" i="18"/>
  <c r="L311" i="18"/>
  <c r="K313" i="18"/>
  <c r="N310" i="18"/>
  <c r="O310" i="18"/>
  <c r="Q310" i="18"/>
  <c r="T310" i="18"/>
  <c r="U310" i="18"/>
  <c r="L314" i="18"/>
  <c r="H330" i="18"/>
  <c r="H331" i="18"/>
  <c r="H332" i="18"/>
  <c r="H333" i="18"/>
  <c r="M330" i="18"/>
  <c r="I331" i="18"/>
  <c r="J331" i="18"/>
  <c r="L331" i="18"/>
  <c r="K333" i="18"/>
  <c r="N330" i="18"/>
  <c r="O330" i="18"/>
  <c r="Q330" i="18"/>
  <c r="T330" i="18"/>
  <c r="U330" i="18"/>
  <c r="L334" i="18"/>
  <c r="H335" i="18"/>
  <c r="H336" i="18"/>
  <c r="H337" i="18"/>
  <c r="H338" i="18"/>
  <c r="M335" i="18"/>
  <c r="I336" i="18"/>
  <c r="L336" i="18"/>
  <c r="K338" i="18"/>
  <c r="N335" i="18"/>
  <c r="O335" i="18"/>
  <c r="Q335" i="18"/>
  <c r="T335" i="18"/>
  <c r="U335" i="18"/>
  <c r="L339" i="18"/>
  <c r="O5" i="17"/>
  <c r="O6" i="17"/>
  <c r="O7" i="17"/>
  <c r="F9" i="17"/>
  <c r="F10" i="17"/>
  <c r="O10" i="17"/>
  <c r="F11" i="17"/>
  <c r="O11" i="17"/>
  <c r="F12" i="17"/>
  <c r="O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O31" i="17"/>
  <c r="O32" i="17"/>
  <c r="O33" i="17"/>
  <c r="F35" i="17"/>
  <c r="F36" i="17"/>
  <c r="O36" i="17"/>
  <c r="T36" i="17"/>
  <c r="F37" i="17"/>
  <c r="O37" i="17"/>
  <c r="F38" i="17"/>
  <c r="M38" i="17"/>
  <c r="O38" i="17"/>
  <c r="F39" i="17"/>
  <c r="M39" i="17"/>
  <c r="F40" i="17"/>
  <c r="F41" i="17"/>
  <c r="O41" i="17"/>
  <c r="C42" i="17"/>
  <c r="D42" i="17"/>
  <c r="G42" i="17"/>
  <c r="O42" i="17"/>
  <c r="O43" i="17"/>
  <c r="O47" i="17"/>
  <c r="O48" i="17"/>
  <c r="O49" i="17"/>
  <c r="F51" i="17"/>
  <c r="F52" i="17"/>
  <c r="O52" i="17"/>
  <c r="Q52" i="17"/>
  <c r="T52" i="17"/>
  <c r="F53" i="17"/>
  <c r="O53" i="17"/>
  <c r="Q53" i="17"/>
  <c r="F54" i="17"/>
  <c r="O54" i="17"/>
  <c r="Q54" i="17"/>
  <c r="F55" i="17"/>
  <c r="F56" i="17"/>
  <c r="F57" i="17"/>
  <c r="M57" i="17"/>
  <c r="O57" i="17"/>
  <c r="F58" i="17"/>
  <c r="M58" i="17"/>
  <c r="O58" i="17"/>
  <c r="F59" i="17"/>
  <c r="M59" i="17"/>
  <c r="O59" i="17"/>
  <c r="C60" i="17"/>
  <c r="D60" i="17"/>
  <c r="G60" i="17"/>
  <c r="O65" i="17"/>
  <c r="O66" i="17"/>
  <c r="O67" i="17"/>
  <c r="O68" i="17"/>
  <c r="F69" i="17"/>
  <c r="M69" i="17"/>
  <c r="F70" i="17"/>
  <c r="M70" i="17"/>
  <c r="O70" i="17"/>
  <c r="T70" i="17"/>
  <c r="F71" i="17"/>
  <c r="M71" i="17"/>
  <c r="O71" i="17"/>
  <c r="F72" i="17"/>
  <c r="M72" i="17"/>
  <c r="O72" i="17"/>
  <c r="F73" i="17"/>
  <c r="M73" i="17"/>
  <c r="O73" i="17"/>
  <c r="C74" i="17"/>
  <c r="D74" i="17"/>
  <c r="G74" i="17"/>
  <c r="O75" i="17"/>
  <c r="O76" i="17"/>
  <c r="O77" i="17"/>
  <c r="O82" i="17"/>
  <c r="O83" i="17"/>
  <c r="O84" i="17"/>
  <c r="O85" i="17"/>
  <c r="F86" i="17"/>
  <c r="M86" i="17"/>
  <c r="F87" i="17"/>
  <c r="M87" i="17"/>
  <c r="O87" i="17"/>
  <c r="F88" i="17"/>
  <c r="M88" i="17"/>
  <c r="O88" i="17"/>
  <c r="C89" i="17"/>
  <c r="D89" i="17"/>
  <c r="G89" i="17"/>
  <c r="O89" i="17"/>
  <c r="O90" i="17"/>
  <c r="O92" i="17"/>
  <c r="O93" i="17"/>
  <c r="O94" i="17"/>
  <c r="O98" i="17"/>
  <c r="O99" i="17"/>
  <c r="O100" i="17"/>
  <c r="F102" i="17"/>
  <c r="M102" i="17"/>
  <c r="F103" i="17"/>
  <c r="O103" i="17"/>
  <c r="F104" i="17"/>
  <c r="O104" i="17"/>
  <c r="F105" i="17"/>
  <c r="O105" i="17"/>
  <c r="O108" i="17"/>
  <c r="O109" i="17"/>
  <c r="O110" i="17"/>
  <c r="O115" i="17"/>
  <c r="O116" i="17"/>
  <c r="O117" i="17"/>
  <c r="F119" i="17"/>
  <c r="M119" i="17"/>
  <c r="F120" i="17"/>
  <c r="O120" i="17"/>
  <c r="T120" i="17"/>
  <c r="F121" i="17"/>
  <c r="O121" i="17"/>
  <c r="F122" i="17"/>
  <c r="O122" i="17"/>
  <c r="F123" i="17"/>
  <c r="F124" i="17"/>
  <c r="O125" i="17"/>
  <c r="O126" i="17"/>
  <c r="O127" i="17"/>
  <c r="O132" i="17"/>
  <c r="O133" i="17"/>
  <c r="O134" i="17"/>
  <c r="O137" i="17"/>
  <c r="T137" i="17"/>
  <c r="O138" i="17"/>
  <c r="M139" i="17"/>
  <c r="O139" i="17"/>
  <c r="O143" i="17"/>
  <c r="F155" i="17"/>
  <c r="S155" i="17"/>
  <c r="F156" i="17"/>
  <c r="S156" i="17"/>
  <c r="F157" i="17"/>
  <c r="S157" i="17"/>
  <c r="F158" i="17"/>
  <c r="S158" i="17"/>
  <c r="F159" i="17"/>
  <c r="S159" i="17"/>
  <c r="F160" i="17"/>
  <c r="S160" i="17"/>
  <c r="F161" i="17"/>
  <c r="S161" i="17"/>
  <c r="F162" i="17"/>
  <c r="F163" i="17"/>
  <c r="F164" i="17"/>
  <c r="J244" i="17"/>
  <c r="K244" i="17"/>
  <c r="J247" i="17"/>
  <c r="K247" i="17"/>
  <c r="J250" i="17"/>
  <c r="K250" i="17"/>
  <c r="J253" i="17"/>
  <c r="K253" i="17"/>
  <c r="J256" i="17"/>
  <c r="K256" i="17"/>
  <c r="J259" i="17"/>
  <c r="K259" i="17"/>
  <c r="C8" i="8"/>
  <c r="E8" i="8"/>
  <c r="F8" i="8"/>
  <c r="K8" i="8"/>
  <c r="L8" i="8"/>
  <c r="M8" i="8"/>
  <c r="N8" i="8"/>
  <c r="O8" i="8"/>
  <c r="E12" i="8"/>
  <c r="H12" i="8"/>
  <c r="K12" i="8"/>
  <c r="L12" i="8"/>
  <c r="M12" i="8"/>
  <c r="N12" i="8"/>
  <c r="O12" i="8"/>
  <c r="E16" i="8"/>
  <c r="H16" i="8"/>
  <c r="K16" i="8"/>
  <c r="L16" i="8"/>
  <c r="N16" i="8"/>
  <c r="O16" i="8"/>
  <c r="E20" i="8"/>
  <c r="H20" i="8"/>
  <c r="K20" i="8"/>
  <c r="L20" i="8"/>
  <c r="N20" i="8"/>
  <c r="O20" i="8"/>
  <c r="E24" i="8"/>
  <c r="H24" i="8"/>
  <c r="K24" i="8"/>
  <c r="L24" i="8"/>
  <c r="N24" i="8"/>
  <c r="O24" i="8"/>
  <c r="C28" i="8"/>
  <c r="E28" i="8"/>
  <c r="H28" i="8"/>
  <c r="K28" i="8"/>
  <c r="L28" i="8"/>
  <c r="M28" i="8"/>
  <c r="N28" i="8"/>
  <c r="O28" i="8"/>
  <c r="H32" i="8"/>
  <c r="K32" i="8"/>
  <c r="L32" i="8"/>
  <c r="N32" i="8"/>
  <c r="O32" i="8"/>
  <c r="C36" i="8"/>
  <c r="E36" i="8"/>
  <c r="H36" i="8"/>
  <c r="K36" i="8"/>
  <c r="L36" i="8"/>
  <c r="M36" i="8"/>
  <c r="N36" i="8"/>
  <c r="O36" i="8"/>
  <c r="E40" i="8"/>
  <c r="H40" i="8"/>
  <c r="K40" i="8"/>
  <c r="L40" i="8"/>
  <c r="N40" i="8"/>
  <c r="O40" i="8"/>
  <c r="C44" i="8"/>
  <c r="E44" i="8"/>
  <c r="H44" i="8"/>
  <c r="K44" i="8"/>
  <c r="L44" i="8"/>
  <c r="M44" i="8"/>
  <c r="N44" i="8"/>
  <c r="O44" i="8"/>
  <c r="C48" i="8"/>
  <c r="E48" i="8"/>
  <c r="H48" i="8"/>
  <c r="K48" i="8"/>
  <c r="L48" i="8"/>
  <c r="M48" i="8"/>
  <c r="N48" i="8"/>
  <c r="O48" i="8"/>
  <c r="E52" i="8"/>
  <c r="H52" i="8"/>
  <c r="K52" i="8"/>
  <c r="L52" i="8"/>
  <c r="N52" i="8"/>
  <c r="O52" i="8"/>
  <c r="C56" i="8"/>
  <c r="E56" i="8"/>
  <c r="H56" i="8"/>
  <c r="K56" i="8"/>
  <c r="L56" i="8"/>
  <c r="M56" i="8"/>
  <c r="N56" i="8"/>
  <c r="O56" i="8"/>
  <c r="E60" i="8"/>
  <c r="H60" i="8"/>
  <c r="K60" i="8"/>
  <c r="L60" i="8"/>
  <c r="N60" i="8"/>
  <c r="O60" i="8"/>
  <c r="D7" i="15"/>
  <c r="H7" i="15"/>
  <c r="B79" i="15"/>
  <c r="I7" i="15"/>
  <c r="J7" i="15"/>
  <c r="H8" i="15"/>
  <c r="I8" i="15"/>
  <c r="J8" i="15"/>
  <c r="H9" i="15"/>
  <c r="I9" i="15"/>
  <c r="J9" i="15"/>
  <c r="K7" i="15"/>
  <c r="L7" i="15"/>
  <c r="D11" i="15"/>
  <c r="H11" i="15"/>
  <c r="I11" i="15"/>
  <c r="J11" i="15"/>
  <c r="H12" i="15"/>
  <c r="I12" i="15"/>
  <c r="J12" i="15"/>
  <c r="H13" i="15"/>
  <c r="I13" i="15"/>
  <c r="J13" i="15"/>
  <c r="K11" i="15"/>
  <c r="L11" i="15"/>
  <c r="D15" i="15"/>
  <c r="H15" i="15"/>
  <c r="I15" i="15"/>
  <c r="J15" i="15"/>
  <c r="H16" i="15"/>
  <c r="I16" i="15"/>
  <c r="J16" i="15"/>
  <c r="H17" i="15"/>
  <c r="I17" i="15"/>
  <c r="J17" i="15"/>
  <c r="K15" i="15"/>
  <c r="L15" i="15"/>
  <c r="M15" i="15"/>
  <c r="D19" i="15"/>
  <c r="H19" i="15"/>
  <c r="I19" i="15"/>
  <c r="J19" i="15"/>
  <c r="H20" i="15"/>
  <c r="I20" i="15"/>
  <c r="J20" i="15"/>
  <c r="H21" i="15"/>
  <c r="I21" i="15"/>
  <c r="J21" i="15"/>
  <c r="H22" i="15"/>
  <c r="I22" i="15"/>
  <c r="J22" i="15"/>
  <c r="K19" i="15"/>
  <c r="L19" i="15"/>
  <c r="M19" i="15"/>
  <c r="D24" i="15"/>
  <c r="H24" i="15"/>
  <c r="I24" i="15"/>
  <c r="J24" i="15"/>
  <c r="H25" i="15"/>
  <c r="I25" i="15"/>
  <c r="J25" i="15"/>
  <c r="H26" i="15"/>
  <c r="I26" i="15"/>
  <c r="J26" i="15"/>
  <c r="H27" i="15"/>
  <c r="I27" i="15"/>
  <c r="J27" i="15"/>
  <c r="K24" i="15"/>
  <c r="L24" i="15"/>
  <c r="D29" i="15"/>
  <c r="H29" i="15"/>
  <c r="I29" i="15"/>
  <c r="J29" i="15"/>
  <c r="H30" i="15"/>
  <c r="I30" i="15"/>
  <c r="J30" i="15"/>
  <c r="H31" i="15"/>
  <c r="I31" i="15"/>
  <c r="J31" i="15"/>
  <c r="H32" i="15"/>
  <c r="I32" i="15"/>
  <c r="J32" i="15"/>
  <c r="K29" i="15"/>
  <c r="L29" i="15"/>
  <c r="D34" i="15"/>
  <c r="H34" i="15"/>
  <c r="I34" i="15"/>
  <c r="J34" i="15"/>
  <c r="H35" i="15"/>
  <c r="I35" i="15"/>
  <c r="J35" i="15"/>
  <c r="H36" i="15"/>
  <c r="I36" i="15"/>
  <c r="J36" i="15"/>
  <c r="H37" i="15"/>
  <c r="I37" i="15"/>
  <c r="J37" i="15"/>
  <c r="K34" i="15"/>
  <c r="L34" i="15"/>
  <c r="D39" i="15"/>
  <c r="H39" i="15"/>
  <c r="I39" i="15"/>
  <c r="J39" i="15"/>
  <c r="H40" i="15"/>
  <c r="I40" i="15"/>
  <c r="J40" i="15"/>
  <c r="H41" i="15"/>
  <c r="I41" i="15"/>
  <c r="J41" i="15"/>
  <c r="H42" i="15"/>
  <c r="I42" i="15"/>
  <c r="J42" i="15"/>
  <c r="K39" i="15"/>
  <c r="L39" i="15"/>
  <c r="D52" i="15"/>
  <c r="H52" i="15"/>
  <c r="I52" i="15"/>
  <c r="J52" i="15"/>
  <c r="H53" i="15"/>
  <c r="I53" i="15"/>
  <c r="J53" i="15"/>
  <c r="H54" i="15"/>
  <c r="I54" i="15"/>
  <c r="J54" i="15"/>
  <c r="K52" i="15"/>
  <c r="L52" i="15"/>
  <c r="D56" i="15"/>
  <c r="H56" i="15"/>
  <c r="I56" i="15"/>
  <c r="J56" i="15"/>
  <c r="H57" i="15"/>
  <c r="I57" i="15"/>
  <c r="J57" i="15"/>
  <c r="H58" i="15"/>
  <c r="I58" i="15"/>
  <c r="J58" i="15"/>
  <c r="K56" i="15"/>
  <c r="L56" i="15"/>
  <c r="D60" i="15"/>
  <c r="H60" i="15"/>
  <c r="I60" i="15"/>
  <c r="J60" i="15"/>
  <c r="H61" i="15"/>
  <c r="I61" i="15"/>
  <c r="J61" i="15"/>
  <c r="H62" i="15"/>
  <c r="I62" i="15"/>
  <c r="J62" i="15"/>
  <c r="K60" i="15"/>
  <c r="L60" i="15"/>
  <c r="D64" i="15"/>
  <c r="H64" i="15"/>
  <c r="I64" i="15"/>
  <c r="J64" i="15"/>
  <c r="H65" i="15"/>
  <c r="I65" i="15"/>
  <c r="J65" i="15"/>
  <c r="H66" i="15"/>
  <c r="I66" i="15"/>
  <c r="J66" i="15"/>
  <c r="K64" i="15"/>
  <c r="L64" i="15"/>
  <c r="D68" i="15"/>
  <c r="H68" i="15"/>
  <c r="I68" i="15"/>
  <c r="J68" i="15"/>
  <c r="H69" i="15"/>
  <c r="I69" i="15"/>
  <c r="J69" i="15"/>
  <c r="H70" i="15"/>
  <c r="I70" i="15"/>
  <c r="J70" i="15"/>
  <c r="H71" i="15"/>
  <c r="I71" i="15"/>
  <c r="J71" i="15"/>
  <c r="K68" i="15"/>
  <c r="L68" i="15"/>
  <c r="D73" i="15"/>
  <c r="H73" i="15"/>
  <c r="I73" i="15"/>
  <c r="J73" i="15"/>
  <c r="H74" i="15"/>
  <c r="I74" i="15"/>
  <c r="J74" i="15"/>
  <c r="H75" i="15"/>
  <c r="I75" i="15"/>
  <c r="J75" i="15"/>
  <c r="H76" i="15"/>
  <c r="I76" i="15"/>
  <c r="J76" i="15"/>
  <c r="K73" i="15"/>
  <c r="L73" i="15"/>
  <c r="B82" i="15"/>
  <c r="B83" i="15"/>
  <c r="D82" i="15"/>
  <c r="E82" i="15"/>
  <c r="B85" i="15"/>
  <c r="B86" i="15"/>
  <c r="D85" i="15"/>
  <c r="E85" i="15"/>
  <c r="B88" i="15"/>
  <c r="B89" i="15"/>
  <c r="D88" i="15"/>
  <c r="E88" i="15"/>
  <c r="B91" i="15"/>
  <c r="B92" i="15"/>
  <c r="D91" i="15"/>
  <c r="E91" i="15"/>
  <c r="B94" i="15"/>
  <c r="B95" i="15"/>
  <c r="D94" i="15"/>
  <c r="E94" i="15"/>
  <c r="B97" i="15"/>
  <c r="B98" i="15"/>
  <c r="B99" i="15"/>
  <c r="B100" i="15"/>
  <c r="D97" i="15"/>
  <c r="E97" i="15"/>
  <c r="H6" i="23"/>
  <c r="J6" i="23"/>
  <c r="N6" i="23"/>
  <c r="P6" i="23"/>
  <c r="H7" i="23"/>
  <c r="N7" i="23"/>
  <c r="P7" i="23"/>
  <c r="H10" i="23"/>
  <c r="J10" i="23"/>
  <c r="N10" i="23"/>
  <c r="P10" i="23"/>
  <c r="H11" i="23"/>
  <c r="N11" i="23"/>
  <c r="P11" i="23"/>
  <c r="H14" i="23"/>
  <c r="J14" i="23"/>
  <c r="N14" i="23"/>
  <c r="P14" i="23"/>
  <c r="H15" i="23"/>
  <c r="N15" i="23"/>
  <c r="P15" i="23"/>
  <c r="J18" i="23"/>
  <c r="N18" i="23"/>
  <c r="P18" i="23"/>
  <c r="N19" i="23"/>
  <c r="P19" i="23"/>
  <c r="J22" i="23"/>
  <c r="N22" i="23"/>
  <c r="P22" i="23"/>
  <c r="N23" i="23"/>
  <c r="P23" i="23"/>
  <c r="J26" i="23"/>
  <c r="N26" i="23"/>
  <c r="P26" i="23"/>
  <c r="N27" i="23"/>
  <c r="P27" i="23"/>
  <c r="J30" i="23"/>
  <c r="D64" i="23"/>
  <c r="G51" i="23"/>
  <c r="G52" i="23"/>
  <c r="G53" i="23"/>
  <c r="G54" i="23"/>
  <c r="G57" i="23"/>
  <c r="G58" i="23"/>
  <c r="G59" i="23"/>
  <c r="G60" i="23"/>
  <c r="D70" i="23"/>
  <c r="D72" i="23"/>
  <c r="D74" i="23"/>
  <c r="D77" i="23"/>
  <c r="D78" i="23"/>
  <c r="D79" i="23"/>
  <c r="M8" i="19"/>
  <c r="M9" i="19"/>
  <c r="M10" i="19"/>
  <c r="M11" i="19"/>
  <c r="R8" i="19"/>
  <c r="P11" i="19"/>
  <c r="S8" i="19"/>
  <c r="T8" i="19"/>
  <c r="Q9" i="19"/>
  <c r="Q12" i="19"/>
  <c r="M13" i="19"/>
  <c r="M14" i="19"/>
  <c r="M15" i="19"/>
  <c r="M16" i="19"/>
  <c r="R13" i="19"/>
  <c r="P16" i="19"/>
  <c r="S13" i="19"/>
  <c r="T13" i="19"/>
  <c r="Q14" i="19"/>
  <c r="Q17" i="19"/>
  <c r="M18" i="19"/>
  <c r="M19" i="19"/>
  <c r="M20" i="19"/>
  <c r="M21" i="19"/>
  <c r="R18" i="19"/>
  <c r="P21" i="19"/>
  <c r="S18" i="19"/>
  <c r="T18" i="19"/>
  <c r="Q19" i="19"/>
  <c r="Q22" i="19"/>
  <c r="M23" i="19"/>
  <c r="M24" i="19"/>
  <c r="M25" i="19"/>
  <c r="M26" i="19"/>
  <c r="R23" i="19"/>
  <c r="P26" i="19"/>
  <c r="S23" i="19"/>
  <c r="T23" i="19"/>
  <c r="Q24" i="19"/>
  <c r="Q27" i="19"/>
  <c r="M28" i="19"/>
  <c r="M29" i="19"/>
  <c r="M30" i="19"/>
  <c r="M31" i="19"/>
  <c r="R28" i="19"/>
  <c r="P31" i="19"/>
  <c r="S28" i="19"/>
  <c r="T28" i="19"/>
  <c r="Q29" i="19"/>
  <c r="Q32" i="19"/>
  <c r="M33" i="19"/>
  <c r="M34" i="19"/>
  <c r="M35" i="19"/>
  <c r="M36" i="19"/>
  <c r="R33" i="19"/>
  <c r="P36" i="19"/>
  <c r="S33" i="19"/>
  <c r="T33" i="19"/>
  <c r="Q34" i="19"/>
  <c r="Q37" i="19"/>
  <c r="M38" i="19"/>
  <c r="M39" i="19"/>
  <c r="M40" i="19"/>
  <c r="M41" i="19"/>
  <c r="R38" i="19"/>
  <c r="P41" i="19"/>
  <c r="S38" i="19"/>
  <c r="T38" i="19"/>
  <c r="Q39" i="19"/>
  <c r="M42" i="19"/>
  <c r="Q42" i="19"/>
  <c r="M43" i="19"/>
  <c r="M44" i="19"/>
  <c r="M45" i="19"/>
  <c r="M46" i="19"/>
  <c r="R43" i="19"/>
  <c r="P46" i="19"/>
  <c r="S43" i="19"/>
  <c r="T43" i="19"/>
  <c r="Q44" i="19"/>
  <c r="Q47" i="19"/>
  <c r="M48" i="19"/>
  <c r="M49" i="19"/>
  <c r="M50" i="19"/>
  <c r="M51" i="19"/>
  <c r="R48" i="19"/>
  <c r="P51" i="19"/>
  <c r="S48" i="19"/>
  <c r="T48" i="19"/>
  <c r="Q49" i="19"/>
  <c r="Q52" i="19"/>
  <c r="M53" i="19"/>
  <c r="M54" i="19"/>
  <c r="M55" i="19"/>
  <c r="M56" i="19"/>
  <c r="R53" i="19"/>
  <c r="P56" i="19"/>
  <c r="S53" i="19"/>
  <c r="T53" i="19"/>
  <c r="Q54" i="19"/>
  <c r="Q57" i="19"/>
  <c r="M72" i="19"/>
  <c r="M73" i="19"/>
  <c r="M74" i="19"/>
  <c r="M75" i="19"/>
  <c r="R72" i="19"/>
  <c r="P75" i="19"/>
  <c r="S72" i="19"/>
  <c r="T72" i="19"/>
  <c r="Q73" i="19"/>
  <c r="Q76" i="19"/>
  <c r="M77" i="19"/>
  <c r="M78" i="19"/>
  <c r="M79" i="19"/>
  <c r="M80" i="19"/>
  <c r="R77" i="19"/>
  <c r="P80" i="19"/>
  <c r="S77" i="19"/>
  <c r="T77" i="19"/>
  <c r="Q78" i="19"/>
  <c r="Q81" i="19"/>
  <c r="M82" i="19"/>
  <c r="M83" i="19"/>
  <c r="M84" i="19"/>
  <c r="M85" i="19"/>
  <c r="R82" i="19"/>
  <c r="P85" i="19"/>
  <c r="S82" i="19"/>
  <c r="T82" i="19"/>
  <c r="Q83" i="19"/>
  <c r="Q86" i="19"/>
  <c r="M87" i="19"/>
  <c r="M88" i="19"/>
  <c r="M89" i="19"/>
  <c r="M90" i="19"/>
  <c r="R87" i="19"/>
  <c r="P90" i="19"/>
  <c r="S87" i="19"/>
  <c r="T87" i="19"/>
  <c r="Q88" i="19"/>
  <c r="Q91" i="19"/>
  <c r="M92" i="19"/>
  <c r="M93" i="19"/>
  <c r="M94" i="19"/>
  <c r="M95" i="19"/>
  <c r="R92" i="19"/>
  <c r="P95" i="19"/>
  <c r="S92" i="19"/>
  <c r="T92" i="19"/>
  <c r="Q93" i="19"/>
  <c r="Q96" i="19"/>
  <c r="M97" i="19"/>
  <c r="M98" i="19"/>
  <c r="M99" i="19"/>
  <c r="M100" i="19"/>
  <c r="R97" i="19"/>
  <c r="P100" i="19"/>
  <c r="S97" i="19"/>
  <c r="T97" i="19"/>
  <c r="Q98" i="19"/>
  <c r="Q101" i="19"/>
  <c r="M102" i="19"/>
  <c r="M103" i="19"/>
  <c r="M104" i="19"/>
  <c r="M105" i="19"/>
  <c r="R102" i="19"/>
  <c r="P105" i="19"/>
  <c r="S102" i="19"/>
  <c r="T102" i="19"/>
  <c r="Q103" i="19"/>
  <c r="Q106" i="19"/>
  <c r="M107" i="19"/>
  <c r="M108" i="19"/>
  <c r="M109" i="19"/>
  <c r="M110" i="19"/>
  <c r="R107" i="19"/>
  <c r="P110" i="19"/>
  <c r="S107" i="19"/>
  <c r="T107" i="19"/>
  <c r="Q108" i="19"/>
  <c r="Q111" i="19"/>
  <c r="M112" i="19"/>
  <c r="M113" i="19"/>
  <c r="M114" i="19"/>
  <c r="M115" i="19"/>
  <c r="R112" i="19"/>
  <c r="P115" i="19"/>
  <c r="S112" i="19"/>
  <c r="T112" i="19"/>
  <c r="Q113" i="19"/>
  <c r="Q116" i="19"/>
  <c r="M117" i="19"/>
  <c r="M118" i="19"/>
  <c r="M119" i="19"/>
  <c r="M120" i="19"/>
  <c r="R117" i="19"/>
  <c r="P120" i="19"/>
  <c r="S117" i="19"/>
  <c r="T117" i="19"/>
  <c r="Q118" i="19"/>
  <c r="Q121" i="19"/>
  <c r="M136" i="19"/>
  <c r="M137" i="19"/>
  <c r="M138" i="19"/>
  <c r="M139" i="19"/>
  <c r="R136" i="19"/>
  <c r="O137" i="19"/>
  <c r="Q137" i="19"/>
  <c r="P139" i="19"/>
  <c r="S136" i="19"/>
  <c r="T136" i="19"/>
  <c r="Q140" i="19"/>
  <c r="M141" i="19"/>
  <c r="M142" i="19"/>
  <c r="M143" i="19"/>
  <c r="M144" i="19"/>
  <c r="R141" i="19"/>
  <c r="Q142" i="19"/>
  <c r="P144" i="19"/>
  <c r="S141" i="19"/>
  <c r="T141" i="19"/>
  <c r="Q145" i="19"/>
  <c r="M146" i="19"/>
  <c r="M147" i="19"/>
  <c r="M148" i="19"/>
  <c r="M149" i="19"/>
  <c r="R146" i="19"/>
  <c r="Q147" i="19"/>
  <c r="P149" i="19"/>
  <c r="S146" i="19"/>
  <c r="T146" i="19"/>
  <c r="Q150" i="19"/>
  <c r="M151" i="19"/>
  <c r="M152" i="19"/>
  <c r="M153" i="19"/>
  <c r="M154" i="19"/>
  <c r="R151" i="19"/>
  <c r="P154" i="19"/>
  <c r="S151" i="19"/>
  <c r="T151" i="19"/>
  <c r="M156" i="19"/>
  <c r="M157" i="19"/>
  <c r="M158" i="19"/>
  <c r="M159" i="19"/>
  <c r="R156" i="19"/>
  <c r="P159" i="19"/>
  <c r="S156" i="19"/>
  <c r="T156" i="19"/>
  <c r="M161" i="19"/>
  <c r="M162" i="19"/>
  <c r="M163" i="19"/>
  <c r="M164" i="19"/>
  <c r="R161" i="19"/>
  <c r="P164" i="19"/>
  <c r="S161" i="19"/>
  <c r="T161" i="19"/>
  <c r="M166" i="19"/>
  <c r="M167" i="19"/>
  <c r="M168" i="19"/>
  <c r="M169" i="19"/>
  <c r="R166" i="19"/>
  <c r="Q167" i="19"/>
  <c r="P169" i="19"/>
  <c r="S166" i="19"/>
  <c r="T166" i="19"/>
  <c r="Q170" i="19"/>
  <c r="M171" i="19"/>
  <c r="M172" i="19"/>
  <c r="M173" i="19"/>
  <c r="M174" i="19"/>
  <c r="R171" i="19"/>
  <c r="O172" i="19"/>
  <c r="Q172" i="19"/>
  <c r="P174" i="19"/>
  <c r="S171" i="19"/>
  <c r="T171" i="19"/>
  <c r="Q175" i="19"/>
  <c r="M176" i="19"/>
  <c r="M177" i="19"/>
  <c r="M178" i="19"/>
  <c r="M179" i="19"/>
  <c r="R176" i="19"/>
  <c r="Q177" i="19"/>
  <c r="P179" i="19"/>
  <c r="S176" i="19"/>
  <c r="T176" i="19"/>
  <c r="Q180" i="19"/>
  <c r="M181" i="19"/>
  <c r="M182" i="19"/>
  <c r="M183" i="19"/>
  <c r="M184" i="19"/>
  <c r="R181" i="19"/>
  <c r="O182" i="19"/>
  <c r="Q182" i="19"/>
  <c r="P184" i="19"/>
  <c r="S181" i="19"/>
  <c r="T181" i="19"/>
  <c r="Q185" i="19"/>
  <c r="M199" i="19"/>
  <c r="M200" i="19"/>
  <c r="M201" i="19"/>
  <c r="M202" i="19"/>
  <c r="R199" i="19"/>
  <c r="O200" i="19"/>
  <c r="Q200" i="19"/>
  <c r="P202" i="19"/>
  <c r="S199" i="19"/>
  <c r="T199" i="19"/>
  <c r="Q203" i="19"/>
  <c r="M204" i="19"/>
  <c r="M205" i="19"/>
  <c r="M206" i="19"/>
  <c r="M207" i="19"/>
  <c r="R204" i="19"/>
  <c r="N205" i="19"/>
  <c r="P207" i="19"/>
  <c r="S204" i="19"/>
  <c r="T204" i="19"/>
  <c r="M209" i="19"/>
  <c r="M210" i="19"/>
  <c r="M211" i="19"/>
  <c r="M212" i="19"/>
  <c r="R209" i="19"/>
  <c r="Q210" i="19"/>
  <c r="P212" i="19"/>
  <c r="S209" i="19"/>
  <c r="T209" i="19"/>
  <c r="Q213" i="19"/>
  <c r="M214" i="19"/>
  <c r="M215" i="19"/>
  <c r="M216" i="19"/>
  <c r="M217" i="19"/>
  <c r="R214" i="19"/>
  <c r="O215" i="19"/>
  <c r="Q215" i="19"/>
  <c r="P217" i="19"/>
  <c r="S214" i="19"/>
  <c r="T214" i="19"/>
  <c r="Q218" i="19"/>
  <c r="M219" i="19"/>
  <c r="M220" i="19"/>
  <c r="M221" i="19"/>
  <c r="M222" i="19"/>
  <c r="R219" i="19"/>
  <c r="O220" i="19"/>
  <c r="Q220" i="19"/>
  <c r="P222" i="19"/>
  <c r="S219" i="19"/>
  <c r="T219" i="19"/>
  <c r="Q223" i="19"/>
  <c r="M224" i="19"/>
  <c r="M225" i="19"/>
  <c r="M226" i="19"/>
  <c r="M227" i="19"/>
  <c r="R224" i="19"/>
  <c r="O225" i="19"/>
  <c r="Q225" i="19"/>
  <c r="P227" i="19"/>
  <c r="S224" i="19"/>
  <c r="T224" i="19"/>
  <c r="Q228" i="19"/>
  <c r="M229" i="19"/>
  <c r="M230" i="19"/>
  <c r="M231" i="19"/>
  <c r="M232" i="19"/>
  <c r="R229" i="19"/>
  <c r="N230" i="19"/>
  <c r="O230" i="19"/>
  <c r="Q230" i="19"/>
  <c r="P232" i="19"/>
  <c r="S229" i="19"/>
  <c r="T229" i="19"/>
  <c r="Q233" i="19"/>
  <c r="M234" i="19"/>
  <c r="M235" i="19"/>
  <c r="M236" i="19"/>
  <c r="M237" i="19"/>
  <c r="R234" i="19"/>
  <c r="N235" i="19"/>
  <c r="O235" i="19"/>
  <c r="Q235" i="19"/>
  <c r="P237" i="19"/>
  <c r="S234" i="19"/>
  <c r="T234" i="19"/>
  <c r="Q238" i="19"/>
  <c r="M239" i="19"/>
  <c r="M240" i="19"/>
  <c r="M241" i="19"/>
  <c r="M242" i="19"/>
  <c r="R239" i="19"/>
  <c r="N240" i="19"/>
  <c r="O240" i="19"/>
  <c r="Q240" i="19"/>
  <c r="P242" i="19"/>
  <c r="S239" i="19"/>
  <c r="T239" i="19"/>
  <c r="Q243" i="19"/>
  <c r="M244" i="19"/>
  <c r="M245" i="19"/>
  <c r="M246" i="19"/>
  <c r="M247" i="19"/>
  <c r="R244" i="19"/>
  <c r="O245" i="19"/>
  <c r="Q245" i="19"/>
  <c r="P247" i="19"/>
  <c r="S244" i="19"/>
  <c r="T244" i="19"/>
  <c r="Q248" i="19"/>
  <c r="M263" i="19"/>
  <c r="M264" i="19"/>
  <c r="M265" i="19"/>
  <c r="M266" i="19"/>
  <c r="R263" i="19"/>
  <c r="O264" i="19"/>
  <c r="Q264" i="19"/>
  <c r="P266" i="19"/>
  <c r="S263" i="19"/>
  <c r="T263" i="19"/>
  <c r="Q267" i="19"/>
  <c r="M268" i="19"/>
  <c r="M269" i="19"/>
  <c r="M270" i="19"/>
  <c r="M271" i="19"/>
  <c r="R268" i="19"/>
  <c r="O269" i="19"/>
  <c r="Q269" i="19"/>
  <c r="P271" i="19"/>
  <c r="S268" i="19"/>
  <c r="T268" i="19"/>
  <c r="Q272" i="19"/>
  <c r="M273" i="19"/>
  <c r="M274" i="19"/>
  <c r="M275" i="19"/>
  <c r="M276" i="19"/>
  <c r="R273" i="19"/>
  <c r="O274" i="19"/>
  <c r="Q274" i="19"/>
  <c r="P276" i="19"/>
  <c r="S273" i="19"/>
  <c r="T273" i="19"/>
  <c r="Q277" i="19"/>
  <c r="M278" i="19"/>
  <c r="M279" i="19"/>
  <c r="M280" i="19"/>
  <c r="M281" i="19"/>
  <c r="R278" i="19"/>
  <c r="N279" i="19"/>
  <c r="O279" i="19"/>
  <c r="Q279" i="19"/>
  <c r="P281" i="19"/>
  <c r="S278" i="19"/>
  <c r="T278" i="19"/>
  <c r="Q282" i="19"/>
  <c r="M283" i="19"/>
  <c r="M284" i="19"/>
  <c r="M285" i="19"/>
  <c r="M286" i="19"/>
  <c r="R283" i="19"/>
  <c r="O284" i="19"/>
  <c r="Q284" i="19"/>
  <c r="P286" i="19"/>
  <c r="S283" i="19"/>
  <c r="T283" i="19"/>
  <c r="Q287" i="19"/>
  <c r="M288" i="19"/>
  <c r="M289" i="19"/>
  <c r="M290" i="19"/>
  <c r="M291" i="19"/>
  <c r="R288" i="19"/>
  <c r="N289" i="19"/>
  <c r="O289" i="19"/>
  <c r="Q289" i="19"/>
  <c r="P291" i="19"/>
  <c r="S288" i="19"/>
  <c r="T288" i="19"/>
  <c r="Q292" i="19"/>
  <c r="M293" i="19"/>
  <c r="M294" i="19"/>
  <c r="M295" i="19"/>
  <c r="M296" i="19"/>
  <c r="R293" i="19"/>
  <c r="N294" i="19"/>
  <c r="O294" i="19"/>
  <c r="Q294" i="19"/>
  <c r="P296" i="19"/>
  <c r="S293" i="19"/>
  <c r="T293" i="19"/>
  <c r="Q297" i="19"/>
  <c r="M298" i="19"/>
  <c r="M299" i="19"/>
  <c r="M300" i="19"/>
  <c r="M301" i="19"/>
  <c r="R298" i="19"/>
  <c r="N299" i="19"/>
  <c r="O299" i="19"/>
  <c r="Q299" i="19"/>
  <c r="P301" i="19"/>
  <c r="S298" i="19"/>
  <c r="T298" i="19"/>
  <c r="Q302" i="19"/>
  <c r="M303" i="19"/>
  <c r="M304" i="19"/>
  <c r="M305" i="19"/>
  <c r="M306" i="19"/>
  <c r="R303" i="19"/>
  <c r="N304" i="19"/>
  <c r="O304" i="19"/>
  <c r="Q304" i="19"/>
  <c r="P306" i="19"/>
  <c r="S303" i="19"/>
  <c r="T303" i="19"/>
  <c r="Q307" i="19"/>
  <c r="M309" i="19"/>
  <c r="M310" i="19"/>
  <c r="M311" i="19"/>
  <c r="M308" i="19"/>
  <c r="R308" i="19"/>
  <c r="N309" i="19"/>
  <c r="O309" i="19"/>
  <c r="Q309" i="19"/>
  <c r="P311" i="19"/>
  <c r="S308" i="19"/>
  <c r="T308" i="19"/>
  <c r="Q312" i="19"/>
  <c r="M327" i="19"/>
  <c r="M328" i="19"/>
  <c r="M329" i="19"/>
  <c r="M330" i="19"/>
  <c r="R327" i="19"/>
  <c r="N328" i="19"/>
  <c r="O328" i="19"/>
  <c r="Q328" i="19"/>
  <c r="P330" i="19"/>
  <c r="S327" i="19"/>
  <c r="T327" i="19"/>
  <c r="Q331" i="19"/>
  <c r="M332" i="19"/>
  <c r="M333" i="19"/>
  <c r="M334" i="19"/>
  <c r="M335" i="19"/>
  <c r="R332" i="19"/>
  <c r="N333" i="19"/>
  <c r="O333" i="19"/>
  <c r="Q333" i="19"/>
  <c r="P335" i="19"/>
  <c r="S332" i="19"/>
  <c r="T332" i="19"/>
  <c r="Q336" i="19"/>
  <c r="M338" i="19"/>
  <c r="M339" i="19"/>
  <c r="M340" i="19"/>
  <c r="M337" i="19"/>
  <c r="R337" i="19"/>
  <c r="N338" i="19"/>
  <c r="O338" i="19"/>
  <c r="Q338" i="19"/>
  <c r="P340" i="19"/>
  <c r="S337" i="19"/>
  <c r="T337" i="19"/>
  <c r="Q341" i="19"/>
  <c r="M342" i="19"/>
  <c r="M343" i="19"/>
  <c r="M344" i="19"/>
  <c r="M345" i="19"/>
  <c r="R342" i="19"/>
  <c r="N343" i="19"/>
  <c r="O343" i="19"/>
  <c r="Q343" i="19"/>
  <c r="P345" i="19"/>
  <c r="S342" i="19"/>
  <c r="T342" i="19"/>
  <c r="Q346" i="19"/>
  <c r="M347" i="19"/>
  <c r="M348" i="19"/>
  <c r="M349" i="19"/>
  <c r="M350" i="19"/>
  <c r="R347" i="19"/>
  <c r="O348" i="19"/>
  <c r="Q348" i="19"/>
  <c r="P350" i="19"/>
  <c r="S347" i="19"/>
  <c r="T347" i="19"/>
  <c r="Q351" i="19"/>
  <c r="M352" i="19"/>
  <c r="M353" i="19"/>
  <c r="M354" i="19"/>
  <c r="M355" i="19"/>
  <c r="R352" i="19"/>
  <c r="N353" i="19"/>
  <c r="O353" i="19"/>
  <c r="Q353" i="19"/>
  <c r="P355" i="19"/>
  <c r="S352" i="19"/>
  <c r="T352" i="19"/>
  <c r="Q356" i="19"/>
  <c r="M357" i="19"/>
  <c r="M358" i="19"/>
  <c r="M359" i="19"/>
  <c r="M360" i="19"/>
  <c r="R357" i="19"/>
  <c r="N358" i="19"/>
  <c r="O358" i="19"/>
  <c r="Q358" i="19"/>
  <c r="P360" i="19"/>
  <c r="S357" i="19"/>
  <c r="T357" i="19"/>
  <c r="Q361" i="19"/>
  <c r="M362" i="19"/>
  <c r="M363" i="19"/>
  <c r="M364" i="19"/>
  <c r="M365" i="19"/>
  <c r="R362" i="19"/>
  <c r="N363" i="19"/>
  <c r="O363" i="19"/>
  <c r="Q363" i="19"/>
  <c r="P365" i="19"/>
  <c r="S362" i="19"/>
  <c r="T362" i="19"/>
  <c r="Q366" i="19"/>
  <c r="M367" i="19"/>
  <c r="M368" i="19"/>
  <c r="M369" i="19"/>
  <c r="M370" i="19"/>
  <c r="R367" i="19"/>
  <c r="N368" i="19"/>
  <c r="O368" i="19"/>
  <c r="Q368" i="19"/>
  <c r="P370" i="19"/>
  <c r="S367" i="19"/>
  <c r="T367" i="19"/>
  <c r="Q371" i="19"/>
  <c r="M372" i="19"/>
  <c r="M373" i="19"/>
  <c r="M374" i="19"/>
  <c r="M375" i="19"/>
  <c r="R372" i="19"/>
  <c r="N373" i="19"/>
  <c r="O373" i="19"/>
  <c r="Q373" i="19"/>
  <c r="P375" i="19"/>
  <c r="S372" i="19"/>
  <c r="T372" i="19"/>
  <c r="Q376" i="19"/>
  <c r="M391" i="19"/>
  <c r="M392" i="19"/>
  <c r="M393" i="19"/>
  <c r="M394" i="19"/>
  <c r="R391" i="19"/>
  <c r="O392" i="19"/>
  <c r="Q392" i="19"/>
  <c r="P394" i="19"/>
  <c r="S391" i="19"/>
  <c r="T391" i="19"/>
  <c r="Q395" i="19"/>
  <c r="M396" i="19"/>
  <c r="M397" i="19"/>
  <c r="M398" i="19"/>
  <c r="M399" i="19"/>
  <c r="R396" i="19"/>
  <c r="O397" i="19"/>
  <c r="Q397" i="19"/>
  <c r="P399" i="19"/>
  <c r="S396" i="19"/>
  <c r="T396" i="19"/>
  <c r="Q400" i="19"/>
  <c r="M401" i="19"/>
  <c r="M402" i="19"/>
  <c r="M403" i="19"/>
  <c r="M404" i="19"/>
  <c r="R401" i="19"/>
  <c r="O402" i="19"/>
  <c r="Q402" i="19"/>
  <c r="P404" i="19"/>
  <c r="S401" i="19"/>
  <c r="T401" i="19"/>
  <c r="Q405" i="19"/>
  <c r="M406" i="19"/>
  <c r="M407" i="19"/>
  <c r="M408" i="19"/>
  <c r="M409" i="19"/>
  <c r="R406" i="19"/>
  <c r="N407" i="19"/>
  <c r="O407" i="19"/>
  <c r="Q407" i="19"/>
  <c r="P409" i="19"/>
  <c r="S406" i="19"/>
  <c r="T406" i="19"/>
  <c r="Q410" i="19"/>
  <c r="M411" i="19"/>
  <c r="M412" i="19"/>
  <c r="M413" i="19"/>
  <c r="M414" i="19"/>
  <c r="R411" i="19"/>
  <c r="N412" i="19"/>
  <c r="O412" i="19"/>
  <c r="Q412" i="19"/>
  <c r="P414" i="19"/>
  <c r="S411" i="19"/>
  <c r="T411" i="19"/>
  <c r="Q415" i="19"/>
  <c r="M416" i="19"/>
  <c r="M417" i="19"/>
  <c r="M418" i="19"/>
  <c r="M419" i="19"/>
  <c r="R416" i="19"/>
  <c r="N417" i="19"/>
  <c r="O417" i="19"/>
  <c r="Q417" i="19"/>
  <c r="P419" i="19"/>
  <c r="S416" i="19"/>
  <c r="T416" i="19"/>
  <c r="Q420" i="19"/>
  <c r="M421" i="19"/>
  <c r="M422" i="19"/>
  <c r="M423" i="19"/>
  <c r="M424" i="19"/>
  <c r="R421" i="19"/>
  <c r="N422" i="19"/>
  <c r="O422" i="19"/>
  <c r="Q422" i="19"/>
  <c r="P424" i="19"/>
  <c r="S421" i="19"/>
  <c r="T421" i="19"/>
  <c r="Q425" i="19"/>
  <c r="M426" i="19"/>
  <c r="M427" i="19"/>
  <c r="M428" i="19"/>
  <c r="M429" i="19"/>
  <c r="R426" i="19"/>
  <c r="N427" i="19"/>
  <c r="O427" i="19"/>
  <c r="Q427" i="19"/>
  <c r="P429" i="19"/>
  <c r="S426" i="19"/>
  <c r="T426" i="19"/>
  <c r="Q430" i="19"/>
  <c r="M431" i="19"/>
  <c r="M432" i="19"/>
  <c r="M433" i="19"/>
  <c r="M434" i="19"/>
  <c r="R431" i="19"/>
  <c r="N432" i="19"/>
  <c r="O432" i="19"/>
  <c r="Q432" i="19"/>
  <c r="P434" i="19"/>
  <c r="S431" i="19"/>
  <c r="T431" i="19"/>
  <c r="Q435" i="19"/>
  <c r="M436" i="19"/>
  <c r="M437" i="19"/>
  <c r="M438" i="19"/>
  <c r="M439" i="19"/>
  <c r="R436" i="19"/>
  <c r="N437" i="19"/>
  <c r="O437" i="19"/>
  <c r="Q437" i="19"/>
  <c r="P439" i="19"/>
  <c r="S436" i="19"/>
  <c r="T436" i="19"/>
  <c r="Q440" i="19"/>
  <c r="M441" i="19"/>
  <c r="M442" i="19"/>
  <c r="M443" i="19"/>
  <c r="M444" i="19"/>
  <c r="R441" i="19"/>
  <c r="N442" i="19"/>
  <c r="Q442" i="19"/>
  <c r="P444" i="19"/>
  <c r="S441" i="19"/>
  <c r="T441" i="19"/>
  <c r="Q445" i="19"/>
  <c r="C4" i="13"/>
  <c r="E4" i="13"/>
  <c r="G4" i="13"/>
  <c r="C5" i="13"/>
  <c r="E5" i="13"/>
  <c r="G5" i="13"/>
  <c r="A6" i="13"/>
  <c r="C6" i="13"/>
  <c r="E6" i="13"/>
  <c r="G6" i="13"/>
  <c r="E7" i="13"/>
  <c r="G7" i="13"/>
  <c r="B8" i="13"/>
  <c r="F9" i="13"/>
  <c r="G14" i="13"/>
  <c r="G15" i="13"/>
  <c r="G16" i="13"/>
  <c r="G17" i="13"/>
  <c r="B18" i="13"/>
  <c r="G18" i="13"/>
  <c r="F20" i="13"/>
  <c r="G25" i="13"/>
  <c r="A26" i="13"/>
  <c r="G26" i="13"/>
  <c r="A27" i="13"/>
  <c r="G27" i="13"/>
  <c r="G28" i="13"/>
  <c r="G29" i="13"/>
  <c r="B30" i="13"/>
  <c r="F31" i="13"/>
  <c r="A37" i="13"/>
  <c r="A38" i="13"/>
  <c r="A39" i="13"/>
  <c r="A40" i="13"/>
  <c r="A41" i="13"/>
  <c r="B43" i="13"/>
</calcChain>
</file>

<file path=xl/sharedStrings.xml><?xml version="1.0" encoding="utf-8"?>
<sst xmlns="http://schemas.openxmlformats.org/spreadsheetml/2006/main" count="3399" uniqueCount="389">
  <si>
    <t>inches</t>
  </si>
  <si>
    <t>g/min</t>
  </si>
  <si>
    <t>Calibration</t>
  </si>
  <si>
    <t>Plate</t>
  </si>
  <si>
    <t>grams</t>
  </si>
  <si>
    <t>CO2</t>
  </si>
  <si>
    <t>A36</t>
  </si>
  <si>
    <t>Date</t>
  </si>
  <si>
    <t>Hi-Vol</t>
  </si>
  <si>
    <t>FGR</t>
  </si>
  <si>
    <t>Initial</t>
  </si>
  <si>
    <t>End</t>
  </si>
  <si>
    <t>Wt</t>
  </si>
  <si>
    <t>Filters</t>
  </si>
  <si>
    <t>Wire</t>
  </si>
  <si>
    <t>% Fume</t>
  </si>
  <si>
    <t>Description</t>
  </si>
  <si>
    <t>Pre-Filter</t>
  </si>
  <si>
    <t>Wire Weight =</t>
  </si>
  <si>
    <t>Pad</t>
  </si>
  <si>
    <t>g/kg</t>
  </si>
  <si>
    <t>Test #</t>
  </si>
  <si>
    <t>Hi-vol</t>
  </si>
  <si>
    <t>Osiris</t>
  </si>
  <si>
    <t>Odin</t>
  </si>
  <si>
    <t>Zeus</t>
  </si>
  <si>
    <t>Vishnu</t>
  </si>
  <si>
    <t>** reject: seal not tight **</t>
  </si>
  <si>
    <t>** reject: feed rate off**</t>
  </si>
  <si>
    <t>** reject: no shield gas **</t>
  </si>
  <si>
    <t>UCD Results</t>
  </si>
  <si>
    <t>Literature Results</t>
  </si>
  <si>
    <t>*5</t>
  </si>
  <si>
    <t>*8</t>
  </si>
  <si>
    <t>*9</t>
  </si>
  <si>
    <t>*11</t>
  </si>
  <si>
    <t>**13</t>
  </si>
  <si>
    <t>**15</t>
  </si>
  <si>
    <t>***16</t>
  </si>
  <si>
    <t>***17</t>
  </si>
  <si>
    <t>***18</t>
  </si>
  <si>
    <t>* Calibration Test for AWS Hood Method</t>
  </si>
  <si>
    <t>n/a</t>
  </si>
  <si>
    <t>0.55&lt;0.63</t>
  </si>
  <si>
    <t>0.88&lt;0.99</t>
  </si>
  <si>
    <t>**19</t>
  </si>
  <si>
    <t>**20</t>
  </si>
  <si>
    <t>Coated Filter</t>
  </si>
  <si>
    <t>Non-Coated</t>
  </si>
  <si>
    <t>**10</t>
  </si>
  <si>
    <t>Coated</t>
  </si>
  <si>
    <t>Lit</t>
  </si>
  <si>
    <t>VI</t>
  </si>
  <si>
    <t>Total</t>
  </si>
  <si>
    <t>mg/L</t>
  </si>
  <si>
    <t>Per Wire</t>
  </si>
  <si>
    <t>?</t>
  </si>
  <si>
    <t>SMAW: UCD encl</t>
  </si>
  <si>
    <t>Voltage</t>
  </si>
  <si>
    <t>Current</t>
  </si>
  <si>
    <t>Time</t>
  </si>
  <si>
    <t>Stainless</t>
  </si>
  <si>
    <t>Steel</t>
  </si>
  <si>
    <t>1/2 inch</t>
  </si>
  <si>
    <t>E70S-3</t>
  </si>
  <si>
    <t>0.045 in</t>
  </si>
  <si>
    <t>E316L-Si</t>
  </si>
  <si>
    <t>0.035 in</t>
  </si>
  <si>
    <t>Blank</t>
  </si>
  <si>
    <t>Pressure</t>
  </si>
  <si>
    <t>Flow Rate</t>
  </si>
  <si>
    <t>Test 22 &amp; 23</t>
  </si>
  <si>
    <t>Combined</t>
  </si>
  <si>
    <t>Cr VI</t>
  </si>
  <si>
    <t>volts</t>
  </si>
  <si>
    <t>amps</t>
  </si>
  <si>
    <t>sec</t>
  </si>
  <si>
    <t>cfm</t>
  </si>
  <si>
    <t>Test 25</t>
  </si>
  <si>
    <t>Test 26</t>
  </si>
  <si>
    <t>Soln</t>
  </si>
  <si>
    <t>mL</t>
  </si>
  <si>
    <t>Gas</t>
  </si>
  <si>
    <t>Project Test Summary: Tests 1-10</t>
  </si>
  <si>
    <t>Project Test Summary: Tests 11-20</t>
  </si>
  <si>
    <t>GMAW: AWS Hood</t>
  </si>
  <si>
    <t>(repeat method 15)</t>
  </si>
  <si>
    <t>GMAW: UCD encl.</t>
  </si>
  <si>
    <t>Initial Trial # 2</t>
  </si>
  <si>
    <t>* Initial Trial #1: Std. Rod w/ Pre-filter (Method 51 from Literature)</t>
  </si>
  <si>
    <t>** Initial Trial #2: Std. Rod and Hi-Chrom w/o pre-filter (Method 51 and Method 15 from Literature) first Trial of trial to determine if borate-buffer filter coating is required</t>
  </si>
  <si>
    <t>*** Initial Trial #5: Calibration of UCD Enclosure (AWS Hood Conditions) 4 Hi-vol filters w/prefilter pads</t>
  </si>
  <si>
    <t>Intial Trial #1</t>
  </si>
  <si>
    <t>** Initial Trial #1: Std. Rod w/ Pre-filter (Method 51 from Literature)</t>
  </si>
  <si>
    <t>Initial Trial #1</t>
  </si>
  <si>
    <t>Initial Trial #2</t>
  </si>
  <si>
    <t>Initial Trial #5</t>
  </si>
  <si>
    <t>*21</t>
  </si>
  <si>
    <t>* Initial Trial #2: Std. Rod and Hi-Chrom w/o pre-filter (Method 51 and Method 15 from Literature) first Trial of trial to determine if borate-buffer filter coating is required</t>
  </si>
  <si>
    <t>*22</t>
  </si>
  <si>
    <t>*23</t>
  </si>
  <si>
    <t>**24</t>
  </si>
  <si>
    <t>**25</t>
  </si>
  <si>
    <t>**26</t>
  </si>
  <si>
    <t>Regular Trial</t>
  </si>
  <si>
    <t>** Regular Trial: SMAW</t>
  </si>
  <si>
    <t>Chromium VI</t>
  </si>
  <si>
    <t>E316L-16</t>
  </si>
  <si>
    <t>4mm</t>
  </si>
  <si>
    <t>Comparison Between Chromium VI in Particle form versus Vapor form</t>
  </si>
  <si>
    <t>Particle Cr VI</t>
  </si>
  <si>
    <t>Vapor Cr VI</t>
  </si>
  <si>
    <t>Vapor Total</t>
  </si>
  <si>
    <t>mg</t>
  </si>
  <si>
    <t>35cfh</t>
  </si>
  <si>
    <t>75Ar/CO2</t>
  </si>
  <si>
    <t>Check for Vapor</t>
  </si>
  <si>
    <t>Length</t>
  </si>
  <si>
    <t>Wt (g)</t>
  </si>
  <si>
    <t>Unit Wt =</t>
  </si>
  <si>
    <t>ER316L-Si  0.035 in</t>
  </si>
  <si>
    <t>ER316L-Si  0.045 in</t>
  </si>
  <si>
    <t>ER 70S-3  0.045 in</t>
  </si>
  <si>
    <t>GMAW: UCD encl</t>
  </si>
  <si>
    <t>Low-Cr Test</t>
  </si>
  <si>
    <t>~</t>
  </si>
  <si>
    <t>Test 27</t>
  </si>
  <si>
    <t>35 cfh</t>
  </si>
  <si>
    <t>32 cfh</t>
  </si>
  <si>
    <t>Project Test Summary: Tests 21-30</t>
  </si>
  <si>
    <t>Project Test Summary: Tests 31-40</t>
  </si>
  <si>
    <t>*** GMAW Low Chromium Test</t>
  </si>
  <si>
    <t>***28</t>
  </si>
  <si>
    <t>***29</t>
  </si>
  <si>
    <t>***30</t>
  </si>
  <si>
    <t>*27</t>
  </si>
  <si>
    <t>Gas Phase Test</t>
  </si>
  <si>
    <t>Test 31</t>
  </si>
  <si>
    <t>Consumed</t>
  </si>
  <si>
    <t>PM 2.5 Measurement</t>
  </si>
  <si>
    <t>**rejected: broken filter**</t>
  </si>
  <si>
    <t>Test 32</t>
  </si>
  <si>
    <t>(Prior to Test 31)</t>
  </si>
  <si>
    <t>(Prior to Test 32)</t>
  </si>
  <si>
    <t>g</t>
  </si>
  <si>
    <t>Cr6 Vapor:</t>
  </si>
  <si>
    <t>Cr6 Part.</t>
  </si>
  <si>
    <t>Cr Vapor:</t>
  </si>
  <si>
    <t>Wire Used</t>
  </si>
  <si>
    <t>mg/mg</t>
  </si>
  <si>
    <t>Fraction</t>
  </si>
  <si>
    <t>of Total Flow</t>
  </si>
  <si>
    <t>cfm/cfm</t>
  </si>
  <si>
    <t>w/ flow corr.</t>
  </si>
  <si>
    <t>mg/g</t>
  </si>
  <si>
    <t>Channel</t>
  </si>
  <si>
    <t>time (s)</t>
  </si>
  <si>
    <t>mg/s</t>
  </si>
  <si>
    <t>UCD Encl.</t>
  </si>
  <si>
    <t>Flow % of total</t>
  </si>
  <si>
    <t>PM 2.5 Total</t>
  </si>
  <si>
    <t>A* Start of rotational measurements</t>
  </si>
  <si>
    <t>Diam</t>
  </si>
  <si>
    <t>V (in/min)</t>
  </si>
  <si>
    <t>Initial (in)</t>
  </si>
  <si>
    <t>End (in)</t>
  </si>
  <si>
    <t>ρ (g/in)</t>
  </si>
  <si>
    <t>L (in)</t>
  </si>
  <si>
    <t>Electrode Consumed</t>
  </si>
  <si>
    <t>Rotations</t>
  </si>
  <si>
    <t>End Wt.</t>
  </si>
  <si>
    <t>Initial Wt.</t>
  </si>
  <si>
    <t>* AWS Calibration Test *</t>
  </si>
  <si>
    <t>* AWS Calibration test *</t>
  </si>
  <si>
    <t>* Method 51: AP-42 *</t>
  </si>
  <si>
    <t>* Method 15: AP-42 *</t>
  </si>
  <si>
    <t>(Calibration Test)</t>
  </si>
  <si>
    <t>Method 15: modified</t>
  </si>
  <si>
    <t>* Method 21: AP-42 *</t>
  </si>
  <si>
    <t>Welder's Discretion</t>
  </si>
  <si>
    <t>For Vapor Tests</t>
  </si>
  <si>
    <t>Cr(VI)</t>
  </si>
  <si>
    <t xml:space="preserve">Wire </t>
  </si>
  <si>
    <t>Speed</t>
  </si>
  <si>
    <t>E70S-3: 0.045 inch diameter</t>
  </si>
  <si>
    <t>Hi-Chrom</t>
  </si>
  <si>
    <t>Std. Rod</t>
  </si>
  <si>
    <t>0.045  in</t>
  </si>
  <si>
    <t>shutdown for ~10s **</t>
  </si>
  <si>
    <t>** Odin &amp; Osiris motors</t>
  </si>
  <si>
    <t>ER 70S-3 0.045 in (second spool)</t>
  </si>
  <si>
    <t>Power</t>
  </si>
  <si>
    <t>V*A</t>
  </si>
  <si>
    <t>Osirus</t>
  </si>
  <si>
    <t>Project Test Summary: Tests 41-50</t>
  </si>
  <si>
    <t xml:space="preserve">E71T-1C 0.045 in </t>
  </si>
  <si>
    <t>E309LT-1</t>
  </si>
  <si>
    <t>E309LT-1 0.045 in</t>
  </si>
  <si>
    <t>FCAW: UCD encl</t>
  </si>
  <si>
    <t>E71T-1C</t>
  </si>
  <si>
    <t>(Prior to Test 45)</t>
  </si>
  <si>
    <t>Test 45</t>
  </si>
  <si>
    <t>(Clean Run)</t>
  </si>
  <si>
    <t>Wire Composition:</t>
  </si>
  <si>
    <t>ER 70S-3</t>
  </si>
  <si>
    <t>C</t>
  </si>
  <si>
    <t>Si</t>
  </si>
  <si>
    <t>Mn</t>
  </si>
  <si>
    <t>P</t>
  </si>
  <si>
    <t>S</t>
  </si>
  <si>
    <t>Mo</t>
  </si>
  <si>
    <t>Ni</t>
  </si>
  <si>
    <t>Cr</t>
  </si>
  <si>
    <t>Cu</t>
  </si>
  <si>
    <t>ER316L-Si</t>
  </si>
  <si>
    <t>Vapor Test</t>
  </si>
  <si>
    <t>Standard Rod</t>
  </si>
  <si>
    <t>A 36</t>
  </si>
  <si>
    <t>Project Test Summary: Tests 51-60</t>
  </si>
  <si>
    <t>Odin*</t>
  </si>
  <si>
    <t>*Filter Error*</t>
  </si>
  <si>
    <t>*</t>
  </si>
  <si>
    <t>Average of other 3 filters used to calculate total</t>
  </si>
  <si>
    <t>Hi-Chromium Rod</t>
  </si>
  <si>
    <t>* Filter Error *</t>
  </si>
  <si>
    <t>1 cubic foot = 28.316847 liters</t>
  </si>
  <si>
    <t>23 Lpm =</t>
  </si>
  <si>
    <t>Project Summary</t>
  </si>
  <si>
    <t>(Prior to Test 46)</t>
  </si>
  <si>
    <t>Test 46</t>
  </si>
  <si>
    <t>GMAW</t>
  </si>
  <si>
    <t>FCAW</t>
  </si>
  <si>
    <t>Percent</t>
  </si>
  <si>
    <t>&gt; 2.5</t>
  </si>
  <si>
    <t>AWS</t>
  </si>
  <si>
    <t>UCD</t>
  </si>
  <si>
    <t>0 cfh</t>
  </si>
  <si>
    <t>20 cfh</t>
  </si>
  <si>
    <t>50 cfh</t>
  </si>
  <si>
    <t>Pulsed MIG</t>
  </si>
  <si>
    <t>95Ar/CO2</t>
  </si>
  <si>
    <t>Mil 308L</t>
  </si>
  <si>
    <t>Chromium Test Results</t>
  </si>
  <si>
    <t>PM 2.5 Test Results</t>
  </si>
  <si>
    <t>Pulsed</t>
  </si>
  <si>
    <t>Mil 308-L</t>
  </si>
  <si>
    <t>IPM</t>
  </si>
  <si>
    <t>GMAW: E316L-Si, 0.045 in</t>
  </si>
  <si>
    <t>GMAW: E316L-Si, 0.035 in</t>
  </si>
  <si>
    <t>Pulsed MIG: E316L-Si, 0.035 in</t>
  </si>
  <si>
    <t>FCAW: E71T-1C, 0.045 in</t>
  </si>
  <si>
    <t>FCAW: E309LT-1, 0.045 in</t>
  </si>
  <si>
    <t>SMAW: E316L-16, 4 mm</t>
  </si>
  <si>
    <t>Emission Factors</t>
  </si>
  <si>
    <t>GMAW: E70S-3, 0.045 in</t>
  </si>
  <si>
    <t>Analysis</t>
  </si>
  <si>
    <t>Gas Flow</t>
  </si>
  <si>
    <t>Rate</t>
  </si>
  <si>
    <t>Particulate Emission Factor</t>
  </si>
  <si>
    <t>Cr(VI) Emission Factor</t>
  </si>
  <si>
    <t>Number of Tests</t>
  </si>
  <si>
    <t>std. dev</t>
  </si>
  <si>
    <t>Change of Gas Flow Rate</t>
  </si>
  <si>
    <t>Vapor Phase Testing for Each Type of Welding Process</t>
  </si>
  <si>
    <t>Cr6 Vapor / Cr6 Part (mg/mg)</t>
  </si>
  <si>
    <t>Cr6 Vapor / Electrode Consumed (mg/g)</t>
  </si>
  <si>
    <t>PM 2.5 Testing for Each Type of Welding Electrode</t>
  </si>
  <si>
    <t>PM 2.5</t>
  </si>
  <si>
    <t>Average</t>
  </si>
  <si>
    <t>Std. Dev</t>
  </si>
  <si>
    <t>% &gt;</t>
  </si>
  <si>
    <t>Pulsed MIG: Mil 308L, 0.045 in</t>
  </si>
  <si>
    <t>Mil 308L, 0.045 in</t>
  </si>
  <si>
    <t>% Deviation</t>
  </si>
  <si>
    <t>Ar</t>
  </si>
  <si>
    <t>100% Ar</t>
  </si>
  <si>
    <t>PM 2.5 Test</t>
  </si>
  <si>
    <t>Mig</t>
  </si>
  <si>
    <t>Percent &gt; 2.5</t>
  </si>
  <si>
    <t>(std dev)</t>
  </si>
  <si>
    <t>fraction less than stated</t>
  </si>
  <si>
    <t>Test 34, #2</t>
  </si>
  <si>
    <t>Test 34, #3</t>
  </si>
  <si>
    <t>Test 44, #1</t>
  </si>
  <si>
    <t>Test 44, #3</t>
  </si>
  <si>
    <t>Test 50, #1</t>
  </si>
  <si>
    <t>Test 50, #4</t>
  </si>
  <si>
    <t>XRF Analyses for Cr</t>
  </si>
  <si>
    <t>Test 53, #2</t>
  </si>
  <si>
    <t>Test 53, #3</t>
  </si>
  <si>
    <t xml:space="preserve">Cr </t>
  </si>
  <si>
    <t>Cr MDL</t>
  </si>
  <si>
    <t>Wire Wt</t>
  </si>
  <si>
    <t>PM2.5 Filter Area</t>
  </si>
  <si>
    <t>[cm^2]</t>
  </si>
  <si>
    <t>[ng/cm^2]</t>
  </si>
  <si>
    <t>[g]</t>
  </si>
  <si>
    <t>Ratio of PM 2.5 flow to</t>
  </si>
  <si>
    <t>total flow</t>
  </si>
  <si>
    <t>[g/min]</t>
  </si>
  <si>
    <t>[mg/L]</t>
  </si>
  <si>
    <t>[g/kg]</t>
  </si>
  <si>
    <t>Electrode</t>
  </si>
  <si>
    <t>0.02 um Filtered Solution</t>
  </si>
  <si>
    <t>[ug/kg]</t>
  </si>
  <si>
    <t>Std Dev</t>
  </si>
  <si>
    <t>Average Voltage</t>
  </si>
  <si>
    <t>Average Amperage</t>
  </si>
  <si>
    <t>Average Wire Feed</t>
  </si>
  <si>
    <t xml:space="preserve">Electrode </t>
  </si>
  <si>
    <t>Diameter</t>
  </si>
  <si>
    <t>Number of tests</t>
  </si>
  <si>
    <t>Average Wire Feed Rate</t>
  </si>
  <si>
    <t>[in/min]</t>
  </si>
  <si>
    <t>(S.D. %)</t>
  </si>
  <si>
    <t>not applicable</t>
  </si>
  <si>
    <t>not available</t>
  </si>
  <si>
    <t>Grams Cr(VI)/ kg-Electrode</t>
  </si>
  <si>
    <t>4 mm</t>
  </si>
  <si>
    <t>Shielded Metal Arc Welding (SMAW)</t>
  </si>
  <si>
    <t>Gas Metal Arc Welding (GMAW)</t>
  </si>
  <si>
    <t>Fluxed Core Arc Welding (FCAW)</t>
  </si>
  <si>
    <t>SMAW</t>
  </si>
  <si>
    <t>non-coated</t>
  </si>
  <si>
    <t>coated</t>
  </si>
  <si>
    <t>Filtered</t>
  </si>
  <si>
    <t>0.02 um</t>
  </si>
  <si>
    <t>less than</t>
  </si>
  <si>
    <t>%-less</t>
  </si>
  <si>
    <t>b.d.l.</t>
  </si>
  <si>
    <t>[ug]</t>
  </si>
  <si>
    <t>0.22 um filter used for tests 56-71</t>
  </si>
  <si>
    <t>Cr(VI) in PM2.5</t>
  </si>
  <si>
    <t>0.45 um Filtered Solution</t>
  </si>
  <si>
    <t>Project Test Summary: Tests 61-71</t>
  </si>
  <si>
    <t xml:space="preserve">Cr(VI) is less than </t>
  </si>
  <si>
    <t>this amount</t>
  </si>
  <si>
    <t>Filtered 0.02 um Cr(VI)</t>
  </si>
  <si>
    <t>0.045"</t>
  </si>
  <si>
    <t>P-GMAW</t>
  </si>
  <si>
    <t>0.035"</t>
  </si>
  <si>
    <t>Cr(VI) &lt; indicated amount</t>
  </si>
  <si>
    <t>Cr MDL/kg</t>
  </si>
  <si>
    <t>Pulsed Arc Welding (P-GMAW)</t>
  </si>
  <si>
    <t>(range)</t>
  </si>
  <si>
    <t>constant</t>
  </si>
  <si>
    <t>(21-24)</t>
  </si>
  <si>
    <t>(165-225)</t>
  </si>
  <si>
    <t>(210-280)</t>
  </si>
  <si>
    <t>(23-24)</t>
  </si>
  <si>
    <t>(134-214)</t>
  </si>
  <si>
    <t>(311-774)</t>
  </si>
  <si>
    <t>(25-26)</t>
  </si>
  <si>
    <t>(146-155)</t>
  </si>
  <si>
    <t>(262-266)</t>
  </si>
  <si>
    <t>(125-131)</t>
  </si>
  <si>
    <t>(349-400)</t>
  </si>
  <si>
    <t>(25-31)</t>
  </si>
  <si>
    <t>(173-175)</t>
  </si>
  <si>
    <t>(239-247)</t>
  </si>
  <si>
    <t>Quick calc of fraction of Cr converted by GMAW and FCAW</t>
  </si>
  <si>
    <t>so if one assumes that the same fraction of Cr is converted from mild steel</t>
  </si>
  <si>
    <t>Standard steel</t>
  </si>
  <si>
    <t>gm-Cr(VI)/ gm-Cr</t>
  </si>
  <si>
    <t>gm-Cr(VI)/ kg-electrode</t>
  </si>
  <si>
    <t>gm-Cr/ gm-electrode</t>
  </si>
  <si>
    <t>gm-Cr(VI)/ gm-electrode</t>
  </si>
  <si>
    <t>Composite</t>
  </si>
  <si>
    <t>Data</t>
  </si>
  <si>
    <t>PM 2.5 Summary</t>
  </si>
  <si>
    <t>Process/wire type</t>
  </si>
  <si>
    <t>%-Greater than PM2.5 Average</t>
  </si>
  <si>
    <t>Change of Gas Composition</t>
  </si>
  <si>
    <t>[cfh]</t>
  </si>
  <si>
    <t>[volts]</t>
  </si>
  <si>
    <t>[amps]</t>
  </si>
  <si>
    <t>[sec]</t>
  </si>
  <si>
    <t>[W]</t>
  </si>
  <si>
    <t>Composition</t>
  </si>
  <si>
    <t>[%]</t>
  </si>
  <si>
    <t>Ar balance CO2</t>
  </si>
  <si>
    <t>Mean - [ug/kg]</t>
  </si>
  <si>
    <t>Std Dev - [ug/kg]</t>
  </si>
  <si>
    <t>#34, 53</t>
  </si>
  <si>
    <t>#44, 50</t>
  </si>
  <si>
    <t>Fraction of Cr in rod emitted as Cr(VI)</t>
  </si>
  <si>
    <t>By analysis NSL Analytical</t>
  </si>
  <si>
    <t>By reference</t>
  </si>
  <si>
    <t>after filtering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</si>
</sst>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00"/>
    <numFmt numFmtId="165" formatCode="mm/dd/yy"/>
    <numFmt numFmtId="166" formatCode="0.00000"/>
    <numFmt numFmtId="167" formatCode="0.0000"/>
    <numFmt numFmtId="168" formatCode="0.0%"/>
    <numFmt numFmtId="169" formatCode="#,##0.000"/>
    <numFmt numFmtId="170" formatCode="0.0"/>
    <numFmt numFmtId="171" formatCode="0.000%"/>
    <numFmt numFmtId="172" formatCode="0.0000%"/>
  </numFmts>
  <fonts count="1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10"/>
      <color rgb="FF7030A0"/>
      <name val="Arial"/>
      <family val="2"/>
    </font>
    <font>
      <b/>
      <sz val="12"/>
      <name val="Avenir LT Std 55 Roman"/>
      <family val="2"/>
    </font>
    <font>
      <sz val="12"/>
      <name val="Avenir LT Std 55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7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165" fontId="0" fillId="0" borderId="0" xfId="0" applyNumberFormat="1"/>
    <xf numFmtId="0" fontId="0" fillId="0" borderId="0" xfId="0" applyFill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2" borderId="1" xfId="0" applyFill="1" applyBorder="1"/>
    <xf numFmtId="0" fontId="0" fillId="0" borderId="1" xfId="0" applyBorder="1"/>
    <xf numFmtId="0" fontId="2" fillId="0" borderId="2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2" fontId="0" fillId="0" borderId="2" xfId="0" applyNumberForma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7" fontId="0" fillId="0" borderId="1" xfId="0" applyNumberFormat="1" applyFill="1" applyBorder="1" applyAlignment="1">
      <alignment horizontal="center"/>
    </xf>
    <xf numFmtId="167" fontId="0" fillId="2" borderId="1" xfId="0" applyNumberFormat="1" applyFill="1" applyBorder="1" applyAlignment="1">
      <alignment horizontal="center"/>
    </xf>
    <xf numFmtId="167" fontId="0" fillId="0" borderId="0" xfId="0" applyNumberFormat="1"/>
    <xf numFmtId="0" fontId="4" fillId="0" borderId="0" xfId="0" applyFont="1"/>
    <xf numFmtId="167" fontId="0" fillId="0" borderId="0" xfId="0" applyNumberFormat="1" applyFill="1" applyBorder="1" applyAlignment="1">
      <alignment horizontal="center"/>
    </xf>
    <xf numFmtId="167" fontId="2" fillId="0" borderId="2" xfId="0" applyNumberFormat="1" applyFon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7" fontId="0" fillId="0" borderId="2" xfId="0" applyNumberFormat="1" applyFill="1" applyBorder="1" applyAlignment="1">
      <alignment horizontal="center"/>
    </xf>
    <xf numFmtId="167" fontId="0" fillId="2" borderId="2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3" xfId="0" applyBorder="1"/>
    <xf numFmtId="0" fontId="3" fillId="0" borderId="0" xfId="0" applyFont="1"/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/>
    <xf numFmtId="164" fontId="2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2" fontId="0" fillId="0" borderId="0" xfId="0" applyNumberFormat="1" applyFill="1" applyBorder="1"/>
    <xf numFmtId="164" fontId="0" fillId="0" borderId="0" xfId="0" applyNumberFormat="1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67" fontId="2" fillId="0" borderId="0" xfId="0" applyNumberFormat="1" applyFont="1" applyFill="1" applyBorder="1" applyAlignment="1">
      <alignment horizontal="center"/>
    </xf>
    <xf numFmtId="164" fontId="0" fillId="2" borderId="0" xfId="0" applyNumberFormat="1" applyFill="1" applyBorder="1"/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167" fontId="0" fillId="2" borderId="0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0" borderId="9" xfId="0" applyFill="1" applyBorder="1"/>
    <xf numFmtId="0" fontId="0" fillId="2" borderId="9" xfId="0" applyFill="1" applyBorder="1"/>
    <xf numFmtId="0" fontId="0" fillId="0" borderId="13" xfId="0" applyFill="1" applyBorder="1"/>
    <xf numFmtId="0" fontId="0" fillId="0" borderId="18" xfId="0" applyFill="1" applyBorder="1"/>
    <xf numFmtId="0" fontId="0" fillId="0" borderId="14" xfId="0" applyFill="1" applyBorder="1" applyAlignment="1">
      <alignment horizontal="left"/>
    </xf>
    <xf numFmtId="0" fontId="0" fillId="2" borderId="3" xfId="0" applyFill="1" applyBorder="1"/>
    <xf numFmtId="0" fontId="0" fillId="2" borderId="8" xfId="0" applyFill="1" applyBorder="1"/>
    <xf numFmtId="0" fontId="0" fillId="0" borderId="9" xfId="0" applyBorder="1"/>
    <xf numFmtId="164" fontId="0" fillId="0" borderId="0" xfId="0" applyNumberFormat="1" applyBorder="1"/>
    <xf numFmtId="0" fontId="0" fillId="0" borderId="8" xfId="0" applyFill="1" applyBorder="1"/>
    <xf numFmtId="0" fontId="0" fillId="0" borderId="18" xfId="0" applyBorder="1"/>
    <xf numFmtId="168" fontId="0" fillId="0" borderId="0" xfId="1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8" fontId="0" fillId="0" borderId="0" xfId="1" applyNumberFormat="1" applyFont="1" applyBorder="1" applyAlignment="1">
      <alignment horizontal="center"/>
    </xf>
    <xf numFmtId="0" fontId="6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Fill="1" applyBorder="1"/>
    <xf numFmtId="0" fontId="2" fillId="0" borderId="0" xfId="0" applyFont="1"/>
    <xf numFmtId="0" fontId="0" fillId="0" borderId="8" xfId="0" applyBorder="1"/>
    <xf numFmtId="0" fontId="0" fillId="0" borderId="11" xfId="0" applyBorder="1"/>
    <xf numFmtId="0" fontId="0" fillId="0" borderId="3" xfId="0" applyFill="1" applyBorder="1"/>
    <xf numFmtId="0" fontId="2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64" fontId="0" fillId="0" borderId="13" xfId="0" applyNumberFormat="1" applyBorder="1"/>
    <xf numFmtId="164" fontId="0" fillId="0" borderId="13" xfId="0" applyNumberFormat="1" applyFill="1" applyBorder="1"/>
    <xf numFmtId="0" fontId="0" fillId="0" borderId="14" xfId="0" applyBorder="1"/>
    <xf numFmtId="2" fontId="0" fillId="0" borderId="15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0" xfId="0" applyNumberFormat="1" applyBorder="1"/>
    <xf numFmtId="10" fontId="0" fillId="2" borderId="0" xfId="0" applyNumberFormat="1" applyFill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0" fontId="0" fillId="0" borderId="13" xfId="0" applyNumberFormat="1" applyBorder="1" applyAlignment="1">
      <alignment horizontal="center"/>
    </xf>
    <xf numFmtId="169" fontId="0" fillId="2" borderId="0" xfId="0" applyNumberFormat="1" applyFill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64" fontId="0" fillId="0" borderId="19" xfId="0" applyNumberFormat="1" applyBorder="1"/>
    <xf numFmtId="164" fontId="0" fillId="0" borderId="20" xfId="0" applyNumberFormat="1" applyBorder="1"/>
    <xf numFmtId="164" fontId="0" fillId="0" borderId="21" xfId="0" applyNumberFormat="1" applyBorder="1"/>
    <xf numFmtId="164" fontId="0" fillId="0" borderId="22" xfId="0" applyNumberFormat="1" applyBorder="1"/>
    <xf numFmtId="164" fontId="0" fillId="0" borderId="23" xfId="0" applyNumberFormat="1" applyBorder="1"/>
    <xf numFmtId="164" fontId="0" fillId="0" borderId="24" xfId="0" applyNumberFormat="1" applyBorder="1"/>
    <xf numFmtId="164" fontId="2" fillId="0" borderId="25" xfId="0" applyNumberFormat="1" applyFont="1" applyBorder="1"/>
    <xf numFmtId="164" fontId="2" fillId="0" borderId="26" xfId="0" applyNumberFormat="1" applyFont="1" applyBorder="1"/>
    <xf numFmtId="0" fontId="0" fillId="3" borderId="0" xfId="0" applyFill="1" applyBorder="1" applyAlignment="1">
      <alignment horizontal="center"/>
    </xf>
    <xf numFmtId="11" fontId="0" fillId="2" borderId="0" xfId="0" applyNumberFormat="1" applyFill="1" applyBorder="1"/>
    <xf numFmtId="166" fontId="0" fillId="2" borderId="0" xfId="0" applyNumberFormat="1" applyFill="1" applyBorder="1"/>
    <xf numFmtId="166" fontId="0" fillId="0" borderId="0" xfId="0" applyNumberFormat="1" applyFill="1" applyBorder="1"/>
    <xf numFmtId="164" fontId="2" fillId="0" borderId="2" xfId="0" applyNumberFormat="1" applyFont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167" fontId="0" fillId="3" borderId="1" xfId="0" applyNumberFormat="1" applyFill="1" applyBorder="1" applyAlignment="1">
      <alignment horizontal="center"/>
    </xf>
    <xf numFmtId="167" fontId="0" fillId="3" borderId="2" xfId="0" applyNumberFormat="1" applyFill="1" applyBorder="1" applyAlignment="1">
      <alignment horizontal="center"/>
    </xf>
    <xf numFmtId="11" fontId="0" fillId="2" borderId="1" xfId="0" applyNumberFormat="1" applyFill="1" applyBorder="1" applyAlignment="1">
      <alignment horizontal="center"/>
    </xf>
    <xf numFmtId="11" fontId="0" fillId="2" borderId="9" xfId="0" applyNumberFormat="1" applyFill="1" applyBorder="1" applyAlignment="1">
      <alignment horizontal="center"/>
    </xf>
    <xf numFmtId="11" fontId="0" fillId="0" borderId="1" xfId="0" applyNumberFormat="1" applyBorder="1" applyAlignment="1">
      <alignment horizontal="center"/>
    </xf>
    <xf numFmtId="11" fontId="0" fillId="0" borderId="9" xfId="0" applyNumberFormat="1" applyBorder="1" applyAlignment="1">
      <alignment horizontal="center"/>
    </xf>
    <xf numFmtId="11" fontId="0" fillId="0" borderId="1" xfId="0" applyNumberFormat="1" applyFill="1" applyBorder="1" applyAlignment="1">
      <alignment horizontal="center"/>
    </xf>
    <xf numFmtId="11" fontId="0" fillId="0" borderId="9" xfId="0" applyNumberFormat="1" applyFill="1" applyBorder="1" applyAlignment="1">
      <alignment horizontal="center"/>
    </xf>
    <xf numFmtId="11" fontId="0" fillId="0" borderId="14" xfId="0" applyNumberFormat="1" applyBorder="1" applyAlignment="1">
      <alignment horizontal="center"/>
    </xf>
    <xf numFmtId="11" fontId="0" fillId="0" borderId="18" xfId="0" applyNumberFormat="1" applyBorder="1" applyAlignment="1">
      <alignment horizontal="center"/>
    </xf>
    <xf numFmtId="167" fontId="0" fillId="0" borderId="0" xfId="0" applyNumberFormat="1" applyAlignment="1">
      <alignment horizontal="center"/>
    </xf>
    <xf numFmtId="167" fontId="3" fillId="0" borderId="0" xfId="0" applyNumberFormat="1" applyFont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2" fontId="0" fillId="0" borderId="3" xfId="0" applyNumberFormat="1" applyBorder="1"/>
    <xf numFmtId="0" fontId="0" fillId="0" borderId="3" xfId="0" applyBorder="1"/>
    <xf numFmtId="0" fontId="0" fillId="3" borderId="28" xfId="0" applyFill="1" applyBorder="1"/>
    <xf numFmtId="2" fontId="0" fillId="0" borderId="30" xfId="0" applyNumberFormat="1" applyBorder="1"/>
    <xf numFmtId="0" fontId="0" fillId="0" borderId="31" xfId="0" applyBorder="1"/>
    <xf numFmtId="0" fontId="0" fillId="0" borderId="3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/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67" fontId="0" fillId="0" borderId="30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7" fontId="0" fillId="0" borderId="3" xfId="0" applyNumberForma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67" fontId="0" fillId="0" borderId="31" xfId="0" applyNumberFormat="1" applyBorder="1" applyAlignment="1">
      <alignment horizontal="center"/>
    </xf>
    <xf numFmtId="11" fontId="0" fillId="0" borderId="31" xfId="0" applyNumberFormat="1" applyBorder="1" applyAlignment="1">
      <alignment horizontal="center"/>
    </xf>
    <xf numFmtId="0" fontId="0" fillId="0" borderId="37" xfId="0" applyFill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67" fontId="0" fillId="0" borderId="37" xfId="0" applyNumberFormat="1" applyBorder="1" applyAlignment="1">
      <alignment horizontal="center"/>
    </xf>
    <xf numFmtId="0" fontId="0" fillId="0" borderId="31" xfId="0" applyFill="1" applyBorder="1" applyAlignment="1">
      <alignment horizontal="center"/>
    </xf>
    <xf numFmtId="49" fontId="0" fillId="0" borderId="37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49" fontId="0" fillId="0" borderId="31" xfId="0" applyNumberFormat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/>
    <xf numFmtId="0" fontId="0" fillId="0" borderId="37" xfId="0" applyBorder="1"/>
    <xf numFmtId="1" fontId="0" fillId="0" borderId="30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68" fontId="3" fillId="0" borderId="0" xfId="1" applyNumberFormat="1" applyFont="1" applyAlignment="1">
      <alignment horizontal="center"/>
    </xf>
    <xf numFmtId="0" fontId="0" fillId="0" borderId="38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39" xfId="0" applyBorder="1" applyAlignment="1">
      <alignment horizontal="center"/>
    </xf>
    <xf numFmtId="170" fontId="0" fillId="0" borderId="3" xfId="0" applyNumberFormat="1" applyBorder="1" applyAlignment="1">
      <alignment horizontal="center"/>
    </xf>
    <xf numFmtId="170" fontId="0" fillId="0" borderId="37" xfId="0" applyNumberFormat="1" applyBorder="1" applyAlignment="1">
      <alignment horizontal="center"/>
    </xf>
    <xf numFmtId="170" fontId="0" fillId="0" borderId="31" xfId="0" applyNumberFormat="1" applyBorder="1" applyAlignment="1">
      <alignment horizontal="center"/>
    </xf>
    <xf numFmtId="166" fontId="0" fillId="0" borderId="0" xfId="0" applyNumberFormat="1"/>
    <xf numFmtId="166" fontId="2" fillId="0" borderId="0" xfId="0" applyNumberFormat="1" applyFont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166" fontId="2" fillId="0" borderId="0" xfId="0" applyNumberFormat="1" applyFont="1"/>
    <xf numFmtId="1" fontId="0" fillId="0" borderId="0" xfId="0" applyNumberFormat="1" applyFill="1" applyBorder="1"/>
    <xf numFmtId="1" fontId="0" fillId="0" borderId="0" xfId="0" applyNumberForma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7" fontId="2" fillId="0" borderId="0" xfId="0" applyNumberFormat="1" applyFont="1" applyAlignment="1">
      <alignment horizontal="center"/>
    </xf>
    <xf numFmtId="167" fontId="0" fillId="0" borderId="0" xfId="0" applyNumberForma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0" fontId="0" fillId="0" borderId="0" xfId="0" applyNumberFormat="1"/>
    <xf numFmtId="171" fontId="0" fillId="0" borderId="0" xfId="0" applyNumberFormat="1"/>
    <xf numFmtId="0" fontId="0" fillId="0" borderId="0" xfId="0" applyFill="1" applyBorder="1" applyAlignment="1"/>
    <xf numFmtId="168" fontId="0" fillId="2" borderId="0" xfId="1" applyNumberFormat="1" applyFont="1" applyFill="1" applyBorder="1" applyAlignment="1">
      <alignment horizontal="center"/>
    </xf>
    <xf numFmtId="168" fontId="0" fillId="0" borderId="13" xfId="1" applyNumberFormat="1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164" fontId="0" fillId="0" borderId="41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8" fontId="0" fillId="0" borderId="2" xfId="1" applyNumberFormat="1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2" fontId="2" fillId="0" borderId="45" xfId="0" applyNumberFormat="1" applyFont="1" applyBorder="1" applyAlignment="1">
      <alignment horizontal="center"/>
    </xf>
    <xf numFmtId="164" fontId="2" fillId="0" borderId="39" xfId="0" applyNumberFormat="1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2" fontId="2" fillId="0" borderId="49" xfId="0" applyNumberFormat="1" applyFont="1" applyBorder="1" applyAlignment="1">
      <alignment horizontal="center"/>
    </xf>
    <xf numFmtId="164" fontId="2" fillId="0" borderId="38" xfId="0" applyNumberFormat="1" applyFont="1" applyBorder="1" applyAlignment="1">
      <alignment horizontal="center"/>
    </xf>
    <xf numFmtId="0" fontId="2" fillId="0" borderId="50" xfId="0" applyFont="1" applyBorder="1"/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2" fontId="0" fillId="0" borderId="45" xfId="0" applyNumberFormat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167" fontId="0" fillId="0" borderId="0" xfId="0" applyNumberFormat="1" applyBorder="1"/>
    <xf numFmtId="0" fontId="0" fillId="0" borderId="13" xfId="0" applyFill="1" applyBorder="1" applyAlignment="1">
      <alignment horizontal="center" vertical="center"/>
    </xf>
    <xf numFmtId="168" fontId="0" fillId="0" borderId="9" xfId="0" applyNumberFormat="1" applyBorder="1"/>
    <xf numFmtId="167" fontId="0" fillId="0" borderId="9" xfId="0" applyNumberFormat="1" applyBorder="1"/>
    <xf numFmtId="167" fontId="0" fillId="0" borderId="0" xfId="0" applyNumberFormat="1" applyFill="1" applyBorder="1"/>
    <xf numFmtId="167" fontId="0" fillId="0" borderId="1" xfId="0" applyNumberFormat="1" applyBorder="1"/>
    <xf numFmtId="0" fontId="0" fillId="0" borderId="16" xfId="0" applyBorder="1"/>
    <xf numFmtId="168" fontId="0" fillId="0" borderId="12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32" xfId="0" applyFont="1" applyBorder="1"/>
    <xf numFmtId="0" fontId="2" fillId="0" borderId="29" xfId="0" applyFont="1" applyBorder="1"/>
    <xf numFmtId="0" fontId="0" fillId="0" borderId="53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54" xfId="0" applyFill="1" applyBorder="1"/>
    <xf numFmtId="0" fontId="0" fillId="0" borderId="55" xfId="0" applyFill="1" applyBorder="1"/>
    <xf numFmtId="0" fontId="0" fillId="0" borderId="54" xfId="0" applyBorder="1"/>
    <xf numFmtId="0" fontId="0" fillId="0" borderId="55" xfId="0" applyBorder="1"/>
    <xf numFmtId="0" fontId="0" fillId="0" borderId="57" xfId="0" applyBorder="1"/>
    <xf numFmtId="0" fontId="0" fillId="0" borderId="33" xfId="0" applyBorder="1"/>
    <xf numFmtId="0" fontId="0" fillId="0" borderId="53" xfId="0" applyBorder="1"/>
    <xf numFmtId="170" fontId="0" fillId="0" borderId="58" xfId="0" applyNumberFormat="1" applyBorder="1"/>
    <xf numFmtId="170" fontId="0" fillId="0" borderId="36" xfId="0" applyNumberFormat="1" applyBorder="1"/>
    <xf numFmtId="0" fontId="0" fillId="0" borderId="36" xfId="0" applyBorder="1"/>
    <xf numFmtId="2" fontId="0" fillId="0" borderId="33" xfId="0" applyNumberFormat="1" applyBorder="1"/>
    <xf numFmtId="170" fontId="0" fillId="0" borderId="34" xfId="0" applyNumberFormat="1" applyBorder="1"/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1" fontId="0" fillId="0" borderId="58" xfId="0" applyNumberFormat="1" applyBorder="1" applyAlignment="1">
      <alignment horizontal="center"/>
    </xf>
    <xf numFmtId="1" fontId="0" fillId="0" borderId="36" xfId="0" applyNumberFormat="1" applyBorder="1" applyAlignment="1">
      <alignment horizontal="center"/>
    </xf>
    <xf numFmtId="1" fontId="0" fillId="0" borderId="59" xfId="0" applyNumberFormat="1" applyBorder="1" applyAlignment="1">
      <alignment horizontal="center"/>
    </xf>
    <xf numFmtId="1" fontId="0" fillId="0" borderId="52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170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8" fontId="0" fillId="0" borderId="0" xfId="0" applyNumberFormat="1" applyFill="1" applyAlignment="1">
      <alignment horizontal="center"/>
    </xf>
    <xf numFmtId="170" fontId="0" fillId="0" borderId="0" xfId="0" applyNumberFormat="1" applyFill="1" applyBorder="1" applyAlignment="1">
      <alignment horizontal="center"/>
    </xf>
    <xf numFmtId="0" fontId="2" fillId="0" borderId="53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164" fontId="0" fillId="0" borderId="52" xfId="0" applyNumberFormat="1" applyBorder="1" applyAlignment="1">
      <alignment horizontal="center"/>
    </xf>
    <xf numFmtId="168" fontId="0" fillId="0" borderId="59" xfId="0" applyNumberFormat="1" applyBorder="1" applyAlignment="1">
      <alignment horizontal="center"/>
    </xf>
    <xf numFmtId="0" fontId="0" fillId="0" borderId="54" xfId="0" applyBorder="1" applyAlignment="1">
      <alignment horizontal="center"/>
    </xf>
    <xf numFmtId="168" fontId="0" fillId="0" borderId="36" xfId="0" applyNumberFormat="1" applyBorder="1" applyAlignment="1">
      <alignment horizontal="center"/>
    </xf>
    <xf numFmtId="167" fontId="0" fillId="0" borderId="52" xfId="0" applyNumberFormat="1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0" fontId="0" fillId="0" borderId="57" xfId="0" applyBorder="1" applyAlignment="1">
      <alignment horizontal="center"/>
    </xf>
    <xf numFmtId="168" fontId="0" fillId="0" borderId="34" xfId="0" applyNumberFormat="1" applyBorder="1" applyAlignment="1">
      <alignment horizontal="center"/>
    </xf>
    <xf numFmtId="0" fontId="0" fillId="0" borderId="60" xfId="0" applyBorder="1" applyAlignment="1">
      <alignment horizontal="center"/>
    </xf>
    <xf numFmtId="0" fontId="2" fillId="0" borderId="61" xfId="0" applyFont="1" applyBorder="1" applyAlignment="1">
      <alignment horizontal="center" wrapText="1"/>
    </xf>
    <xf numFmtId="0" fontId="2" fillId="0" borderId="62" xfId="0" applyFont="1" applyBorder="1" applyAlignment="1">
      <alignment horizontal="center" wrapText="1"/>
    </xf>
    <xf numFmtId="0" fontId="0" fillId="0" borderId="53" xfId="0" applyBorder="1" applyAlignment="1">
      <alignment horizontal="center"/>
    </xf>
    <xf numFmtId="11" fontId="0" fillId="0" borderId="58" xfId="0" applyNumberFormat="1" applyBorder="1" applyAlignment="1">
      <alignment horizontal="center"/>
    </xf>
    <xf numFmtId="169" fontId="0" fillId="0" borderId="3" xfId="0" applyNumberFormat="1" applyBorder="1" applyAlignment="1">
      <alignment horizontal="center"/>
    </xf>
    <xf numFmtId="11" fontId="0" fillId="0" borderId="36" xfId="0" applyNumberFormat="1" applyBorder="1" applyAlignment="1">
      <alignment horizontal="center"/>
    </xf>
    <xf numFmtId="169" fontId="0" fillId="0" borderId="33" xfId="0" applyNumberFormat="1" applyBorder="1" applyAlignment="1">
      <alignment horizontal="center"/>
    </xf>
    <xf numFmtId="0" fontId="0" fillId="0" borderId="53" xfId="0" applyBorder="1" applyAlignment="1">
      <alignment horizontal="center" wrapText="1"/>
    </xf>
    <xf numFmtId="0" fontId="0" fillId="0" borderId="30" xfId="0" applyBorder="1" applyAlignment="1">
      <alignment horizontal="center"/>
    </xf>
    <xf numFmtId="11" fontId="0" fillId="0" borderId="34" xfId="0" applyNumberForma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170" fontId="0" fillId="0" borderId="65" xfId="0" applyNumberFormat="1" applyBorder="1" applyAlignment="1">
      <alignment horizontal="center"/>
    </xf>
    <xf numFmtId="170" fontId="0" fillId="0" borderId="4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40" xfId="0" applyFont="1" applyBorder="1" applyAlignment="1">
      <alignment horizontal="center"/>
    </xf>
    <xf numFmtId="170" fontId="0" fillId="0" borderId="42" xfId="0" applyNumberFormat="1" applyBorder="1" applyAlignment="1">
      <alignment horizontal="center"/>
    </xf>
    <xf numFmtId="0" fontId="0" fillId="3" borderId="66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" xfId="0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68" fontId="0" fillId="0" borderId="37" xfId="0" applyNumberFormat="1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0" fillId="0" borderId="67" xfId="0" applyBorder="1" applyAlignment="1">
      <alignment horizontal="center" wrapText="1"/>
    </xf>
    <xf numFmtId="2" fontId="0" fillId="0" borderId="46" xfId="0" applyNumberFormat="1" applyBorder="1" applyAlignment="1">
      <alignment horizontal="center" wrapText="1"/>
    </xf>
    <xf numFmtId="0" fontId="0" fillId="0" borderId="68" xfId="0" applyBorder="1"/>
    <xf numFmtId="168" fontId="0" fillId="0" borderId="50" xfId="1" applyNumberFormat="1" applyFont="1" applyBorder="1" applyAlignment="1">
      <alignment horizontal="center"/>
    </xf>
    <xf numFmtId="0" fontId="0" fillId="0" borderId="10" xfId="0" applyBorder="1"/>
    <xf numFmtId="168" fontId="0" fillId="0" borderId="41" xfId="0" applyNumberFormat="1" applyBorder="1" applyAlignment="1">
      <alignment horizontal="center"/>
    </xf>
    <xf numFmtId="0" fontId="0" fillId="0" borderId="67" xfId="0" applyBorder="1"/>
    <xf numFmtId="168" fontId="0" fillId="0" borderId="46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2" fontId="0" fillId="0" borderId="46" xfId="0" applyNumberFormat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2" fontId="0" fillId="0" borderId="71" xfId="0" applyNumberFormat="1" applyBorder="1" applyAlignment="1">
      <alignment horizontal="center"/>
    </xf>
    <xf numFmtId="172" fontId="0" fillId="0" borderId="0" xfId="0" applyNumberFormat="1"/>
    <xf numFmtId="168" fontId="0" fillId="0" borderId="0" xfId="1" applyNumberFormat="1" applyFont="1" applyFill="1" applyBorder="1" applyAlignment="1">
      <alignment horizontal="center"/>
    </xf>
    <xf numFmtId="168" fontId="0" fillId="0" borderId="0" xfId="0" applyNumberFormat="1" applyFill="1" applyBorder="1" applyAlignment="1">
      <alignment horizontal="center"/>
    </xf>
    <xf numFmtId="170" fontId="0" fillId="0" borderId="0" xfId="0" applyNumberFormat="1" applyFill="1" applyBorder="1"/>
    <xf numFmtId="0" fontId="2" fillId="0" borderId="7" xfId="0" applyFont="1" applyFill="1" applyBorder="1" applyAlignment="1" applyProtection="1">
      <alignment horizontal="center"/>
      <protection locked="0"/>
    </xf>
    <xf numFmtId="11" fontId="3" fillId="0" borderId="0" xfId="0" applyNumberFormat="1" applyFont="1" applyAlignment="1">
      <alignment horizontal="center"/>
    </xf>
    <xf numFmtId="167" fontId="2" fillId="0" borderId="0" xfId="0" applyNumberFormat="1" applyFont="1" applyAlignment="1"/>
    <xf numFmtId="0" fontId="2" fillId="0" borderId="0" xfId="0" applyFont="1" applyAlignment="1"/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164" fontId="0" fillId="3" borderId="0" xfId="0" applyNumberFormat="1" applyFill="1" applyBorder="1" applyAlignment="1">
      <alignment horizontal="center"/>
    </xf>
    <xf numFmtId="167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164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2" fontId="3" fillId="0" borderId="2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167" fontId="0" fillId="0" borderId="0" xfId="0" applyNumberFormat="1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2" fontId="0" fillId="0" borderId="2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2" fontId="0" fillId="0" borderId="2" xfId="0" applyNumberFormat="1" applyFill="1" applyBorder="1" applyProtection="1"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164" fontId="0" fillId="0" borderId="13" xfId="0" applyNumberFormat="1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right"/>
      <protection locked="0"/>
    </xf>
    <xf numFmtId="0" fontId="0" fillId="0" borderId="13" xfId="0" applyFill="1" applyBorder="1" applyAlignment="1" applyProtection="1">
      <alignment horizontal="right"/>
      <protection locked="0"/>
    </xf>
    <xf numFmtId="2" fontId="0" fillId="0" borderId="13" xfId="0" applyNumberFormat="1" applyFill="1" applyBorder="1" applyAlignment="1" applyProtection="1">
      <alignment horizontal="center"/>
      <protection locked="0"/>
    </xf>
    <xf numFmtId="164" fontId="0" fillId="0" borderId="14" xfId="0" applyNumberFormat="1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3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67" fontId="0" fillId="2" borderId="1" xfId="0" applyNumberFormat="1" applyFill="1" applyBorder="1"/>
    <xf numFmtId="168" fontId="0" fillId="2" borderId="9" xfId="0" applyNumberFormat="1" applyFill="1" applyBorder="1"/>
    <xf numFmtId="167" fontId="0" fillId="2" borderId="0" xfId="0" applyNumberFormat="1" applyFill="1" applyBorder="1"/>
    <xf numFmtId="0" fontId="0" fillId="2" borderId="0" xfId="0" applyFill="1" applyBorder="1" applyAlignment="1">
      <alignment horizontal="center" vertical="center"/>
    </xf>
    <xf numFmtId="0" fontId="0" fillId="3" borderId="8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166" fontId="0" fillId="3" borderId="0" xfId="0" applyNumberFormat="1" applyFill="1" applyBorder="1"/>
    <xf numFmtId="0" fontId="0" fillId="3" borderId="0" xfId="0" applyFill="1" applyBorder="1"/>
    <xf numFmtId="0" fontId="0" fillId="3" borderId="1" xfId="0" applyFill="1" applyBorder="1"/>
    <xf numFmtId="0" fontId="0" fillId="3" borderId="9" xfId="0" applyFill="1" applyBorder="1"/>
    <xf numFmtId="0" fontId="0" fillId="3" borderId="0" xfId="0" applyFill="1"/>
    <xf numFmtId="0" fontId="0" fillId="3" borderId="1" xfId="0" applyFill="1" applyBorder="1" applyAlignment="1">
      <alignment horizontal="left"/>
    </xf>
    <xf numFmtId="0" fontId="3" fillId="0" borderId="0" xfId="0" applyFont="1" applyFill="1" applyAlignment="1">
      <alignment horizontal="center"/>
    </xf>
    <xf numFmtId="167" fontId="0" fillId="0" borderId="1" xfId="0" applyNumberFormat="1" applyFill="1" applyBorder="1"/>
    <xf numFmtId="168" fontId="0" fillId="0" borderId="9" xfId="0" applyNumberFormat="1" applyFill="1" applyBorder="1"/>
    <xf numFmtId="0" fontId="0" fillId="0" borderId="1" xfId="0" applyFill="1" applyBorder="1"/>
    <xf numFmtId="164" fontId="0" fillId="2" borderId="1" xfId="0" applyNumberFormat="1" applyFill="1" applyBorder="1"/>
    <xf numFmtId="164" fontId="0" fillId="2" borderId="9" xfId="0" applyNumberFormat="1" applyFill="1" applyBorder="1"/>
    <xf numFmtId="167" fontId="0" fillId="2" borderId="9" xfId="0" applyNumberFormat="1" applyFill="1" applyBorder="1"/>
    <xf numFmtId="0" fontId="2" fillId="0" borderId="73" xfId="0" applyFont="1" applyFill="1" applyBorder="1" applyAlignment="1"/>
    <xf numFmtId="0" fontId="2" fillId="0" borderId="74" xfId="0" applyFont="1" applyFill="1" applyBorder="1" applyAlignment="1"/>
    <xf numFmtId="164" fontId="2" fillId="0" borderId="73" xfId="0" applyNumberFormat="1" applyFont="1" applyFill="1" applyBorder="1" applyAlignment="1"/>
    <xf numFmtId="0" fontId="0" fillId="2" borderId="1" xfId="0" applyFill="1" applyBorder="1" applyAlignment="1"/>
    <xf numFmtId="0" fontId="0" fillId="2" borderId="0" xfId="0" applyFill="1" applyBorder="1" applyAlignment="1"/>
    <xf numFmtId="0" fontId="0" fillId="0" borderId="1" xfId="0" applyFill="1" applyBorder="1" applyAlignment="1"/>
    <xf numFmtId="0" fontId="2" fillId="0" borderId="5" xfId="0" applyFont="1" applyBorder="1" applyAlignment="1"/>
    <xf numFmtId="0" fontId="2" fillId="0" borderId="7" xfId="0" applyFont="1" applyBorder="1" applyAlignment="1"/>
    <xf numFmtId="164" fontId="2" fillId="0" borderId="0" xfId="0" applyNumberFormat="1" applyFont="1" applyFill="1" applyBorder="1" applyAlignment="1"/>
    <xf numFmtId="167" fontId="2" fillId="0" borderId="5" xfId="0" applyNumberFormat="1" applyFont="1" applyBorder="1" applyAlignment="1"/>
    <xf numFmtId="167" fontId="2" fillId="0" borderId="7" xfId="0" applyNumberFormat="1" applyFont="1" applyBorder="1" applyAlignment="1"/>
    <xf numFmtId="167" fontId="2" fillId="0" borderId="72" xfId="0" applyNumberFormat="1" applyFont="1" applyBorder="1" applyAlignment="1"/>
    <xf numFmtId="0" fontId="2" fillId="0" borderId="72" xfId="0" applyFont="1" applyBorder="1" applyAlignment="1"/>
    <xf numFmtId="164" fontId="2" fillId="0" borderId="7" xfId="0" applyNumberFormat="1" applyFont="1" applyFill="1" applyBorder="1" applyAlignment="1"/>
    <xf numFmtId="0" fontId="2" fillId="0" borderId="5" xfId="0" applyFont="1" applyFill="1" applyBorder="1" applyAlignment="1"/>
    <xf numFmtId="0" fontId="2" fillId="0" borderId="7" xfId="0" applyFont="1" applyFill="1" applyBorder="1" applyAlignment="1"/>
    <xf numFmtId="164" fontId="2" fillId="0" borderId="5" xfId="0" applyNumberFormat="1" applyFont="1" applyFill="1" applyBorder="1" applyAlignment="1"/>
    <xf numFmtId="164" fontId="2" fillId="0" borderId="72" xfId="0" applyNumberFormat="1" applyFont="1" applyFill="1" applyBorder="1" applyAlignment="1"/>
    <xf numFmtId="0" fontId="0" fillId="0" borderId="1" xfId="0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164" fontId="2" fillId="0" borderId="5" xfId="0" applyNumberFormat="1" applyFont="1" applyFill="1" applyBorder="1" applyAlignment="1" applyProtection="1">
      <protection locked="0"/>
    </xf>
    <xf numFmtId="164" fontId="2" fillId="0" borderId="7" xfId="0" applyNumberFormat="1" applyFont="1" applyFill="1" applyBorder="1" applyAlignment="1" applyProtection="1">
      <protection locked="0"/>
    </xf>
    <xf numFmtId="164" fontId="2" fillId="0" borderId="72" xfId="0" applyNumberFormat="1" applyFont="1" applyFill="1" applyBorder="1" applyAlignment="1" applyProtection="1">
      <protection locked="0"/>
    </xf>
    <xf numFmtId="164" fontId="0" fillId="0" borderId="0" xfId="0" applyNumberFormat="1" applyFill="1" applyBorder="1" applyAlignment="1"/>
    <xf numFmtId="0" fontId="2" fillId="0" borderId="17" xfId="0" applyFont="1" applyFill="1" applyBorder="1" applyAlignment="1"/>
    <xf numFmtId="164" fontId="0" fillId="3" borderId="0" xfId="0" applyNumberFormat="1" applyFill="1" applyBorder="1" applyAlignment="1"/>
    <xf numFmtId="0" fontId="0" fillId="3" borderId="1" xfId="0" applyFill="1" applyBorder="1" applyAlignment="1"/>
    <xf numFmtId="0" fontId="0" fillId="3" borderId="0" xfId="0" applyFill="1" applyBorder="1" applyAlignment="1"/>
    <xf numFmtId="0" fontId="2" fillId="0" borderId="5" xfId="0" applyFont="1" applyFill="1" applyBorder="1" applyAlignment="1" applyProtection="1">
      <protection locked="0"/>
    </xf>
    <xf numFmtId="0" fontId="2" fillId="0" borderId="7" xfId="0" applyFont="1" applyFill="1" applyBorder="1" applyAlignment="1" applyProtection="1">
      <protection locked="0"/>
    </xf>
    <xf numFmtId="0" fontId="2" fillId="0" borderId="17" xfId="0" applyFont="1" applyFill="1" applyBorder="1" applyAlignment="1" applyProtection="1">
      <protection locked="0"/>
    </xf>
    <xf numFmtId="166" fontId="9" fillId="0" borderId="0" xfId="0" applyNumberFormat="1" applyFont="1" applyAlignment="1">
      <alignment horizontal="center"/>
    </xf>
    <xf numFmtId="167" fontId="9" fillId="0" borderId="0" xfId="0" applyNumberFormat="1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165" fontId="11" fillId="0" borderId="0" xfId="0" applyNumberFormat="1" applyFont="1"/>
    <xf numFmtId="0" fontId="11" fillId="0" borderId="0" xfId="0" applyFont="1"/>
    <xf numFmtId="164" fontId="11" fillId="0" borderId="0" xfId="0" applyNumberFormat="1" applyFont="1"/>
    <xf numFmtId="2" fontId="11" fillId="0" borderId="0" xfId="0" applyNumberFormat="1" applyFont="1"/>
    <xf numFmtId="165" fontId="11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165" fontId="10" fillId="0" borderId="5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164" fontId="10" fillId="0" borderId="5" xfId="0" applyNumberFormat="1" applyFont="1" applyBorder="1" applyAlignment="1"/>
    <xf numFmtId="164" fontId="10" fillId="0" borderId="7" xfId="0" applyNumberFormat="1" applyFont="1" applyBorder="1" applyAlignment="1"/>
    <xf numFmtId="164" fontId="10" fillId="0" borderId="72" xfId="0" applyNumberFormat="1" applyFont="1" applyBorder="1" applyAlignment="1"/>
    <xf numFmtId="0" fontId="10" fillId="0" borderId="5" xfId="0" applyFont="1" applyBorder="1" applyAlignment="1"/>
    <xf numFmtId="0" fontId="10" fillId="0" borderId="7" xfId="0" applyFont="1" applyBorder="1" applyAlignment="1"/>
    <xf numFmtId="0" fontId="10" fillId="0" borderId="17" xfId="0" applyFont="1" applyBorder="1" applyAlignment="1"/>
    <xf numFmtId="0" fontId="10" fillId="0" borderId="8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165" fontId="11" fillId="0" borderId="1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2" fontId="11" fillId="0" borderId="2" xfId="0" applyNumberFormat="1" applyFont="1" applyBorder="1" applyAlignment="1">
      <alignment horizontal="center"/>
    </xf>
    <xf numFmtId="0" fontId="11" fillId="0" borderId="0" xfId="0" applyFont="1" applyBorder="1"/>
    <xf numFmtId="0" fontId="11" fillId="0" borderId="9" xfId="0" applyFont="1" applyBorder="1"/>
    <xf numFmtId="0" fontId="11" fillId="2" borderId="8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165" fontId="11" fillId="2" borderId="1" xfId="0" applyNumberFormat="1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164" fontId="11" fillId="2" borderId="0" xfId="0" applyNumberFormat="1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164" fontId="11" fillId="2" borderId="0" xfId="0" applyNumberFormat="1" applyFont="1" applyFill="1" applyAlignment="1">
      <alignment horizontal="center"/>
    </xf>
    <xf numFmtId="2" fontId="11" fillId="2" borderId="2" xfId="0" applyNumberFormat="1" applyFont="1" applyFill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0" xfId="0" applyFont="1" applyFill="1" applyBorder="1"/>
    <xf numFmtId="0" fontId="11" fillId="2" borderId="9" xfId="0" applyFont="1" applyFill="1" applyBorder="1"/>
    <xf numFmtId="0" fontId="11" fillId="2" borderId="0" xfId="0" applyFont="1" applyFill="1"/>
    <xf numFmtId="164" fontId="11" fillId="2" borderId="0" xfId="0" applyNumberFormat="1" applyFont="1" applyFill="1"/>
    <xf numFmtId="2" fontId="11" fillId="2" borderId="0" xfId="0" applyNumberFormat="1" applyFont="1" applyFill="1"/>
    <xf numFmtId="0" fontId="11" fillId="2" borderId="1" xfId="0" applyFont="1" applyFill="1" applyBorder="1" applyAlignment="1"/>
    <xf numFmtId="0" fontId="11" fillId="2" borderId="0" xfId="0" applyFont="1" applyFill="1" applyBorder="1" applyAlignment="1"/>
    <xf numFmtId="0" fontId="11" fillId="2" borderId="9" xfId="0" applyFont="1" applyFill="1" applyBorder="1" applyAlignment="1"/>
    <xf numFmtId="164" fontId="11" fillId="2" borderId="2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2" fontId="11" fillId="0" borderId="2" xfId="0" applyNumberFormat="1" applyFont="1" applyFill="1" applyBorder="1" applyAlignment="1">
      <alignment horizontal="center"/>
    </xf>
    <xf numFmtId="0" fontId="11" fillId="0" borderId="0" xfId="0" applyFont="1" applyFill="1" applyBorder="1"/>
    <xf numFmtId="0" fontId="11" fillId="0" borderId="9" xfId="0" applyFont="1" applyFill="1" applyBorder="1"/>
    <xf numFmtId="0" fontId="11" fillId="0" borderId="1" xfId="0" applyFont="1" applyBorder="1" applyAlignment="1"/>
    <xf numFmtId="0" fontId="11" fillId="0" borderId="0" xfId="0" applyFont="1" applyBorder="1" applyAlignment="1"/>
    <xf numFmtId="0" fontId="11" fillId="0" borderId="9" xfId="0" applyFont="1" applyBorder="1" applyAlignment="1"/>
    <xf numFmtId="0" fontId="11" fillId="2" borderId="1" xfId="0" applyFont="1" applyFill="1" applyBorder="1"/>
    <xf numFmtId="0" fontId="11" fillId="0" borderId="1" xfId="0" applyFont="1" applyBorder="1"/>
    <xf numFmtId="165" fontId="11" fillId="2" borderId="3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/>
    <xf numFmtId="0" fontId="11" fillId="0" borderId="0" xfId="0" applyFont="1" applyFill="1" applyBorder="1" applyAlignment="1"/>
    <xf numFmtId="0" fontId="11" fillId="0" borderId="9" xfId="0" applyFont="1" applyFill="1" applyBorder="1" applyAlignment="1"/>
    <xf numFmtId="164" fontId="11" fillId="0" borderId="2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165" fontId="11" fillId="0" borderId="12" xfId="0" applyNumberFormat="1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164" fontId="11" fillId="0" borderId="13" xfId="0" applyNumberFormat="1" applyFont="1" applyFill="1" applyBorder="1" applyAlignment="1">
      <alignment horizontal="center"/>
    </xf>
    <xf numFmtId="0" fontId="11" fillId="0" borderId="15" xfId="0" applyFont="1" applyBorder="1"/>
    <xf numFmtId="164" fontId="11" fillId="0" borderId="13" xfId="0" applyNumberFormat="1" applyFont="1" applyBorder="1" applyAlignment="1">
      <alignment horizontal="center"/>
    </xf>
    <xf numFmtId="2" fontId="11" fillId="0" borderId="15" xfId="0" applyNumberFormat="1" applyFont="1" applyFill="1" applyBorder="1" applyAlignment="1">
      <alignment horizontal="center"/>
    </xf>
    <xf numFmtId="164" fontId="11" fillId="0" borderId="14" xfId="0" applyNumberFormat="1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165" fontId="11" fillId="0" borderId="0" xfId="0" applyNumberFormat="1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2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165" fontId="10" fillId="0" borderId="6" xfId="0" applyNumberFormat="1" applyFont="1" applyBorder="1" applyAlignment="1">
      <alignment horizontal="center"/>
    </xf>
    <xf numFmtId="165" fontId="10" fillId="0" borderId="3" xfId="0" applyNumberFormat="1" applyFont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11" fillId="0" borderId="1" xfId="0" applyFont="1" applyFill="1" applyBorder="1"/>
    <xf numFmtId="165" fontId="11" fillId="0" borderId="1" xfId="0" applyNumberFormat="1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165" fontId="11" fillId="0" borderId="14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/>
    <xf numFmtId="2" fontId="11" fillId="0" borderId="13" xfId="0" applyNumberFormat="1" applyFont="1" applyFill="1" applyBorder="1" applyAlignment="1">
      <alignment horizontal="center"/>
    </xf>
    <xf numFmtId="0" fontId="11" fillId="0" borderId="14" xfId="0" applyFont="1" applyFill="1" applyBorder="1"/>
    <xf numFmtId="0" fontId="11" fillId="0" borderId="13" xfId="0" applyFont="1" applyFill="1" applyBorder="1"/>
    <xf numFmtId="0" fontId="11" fillId="2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165" fontId="11" fillId="0" borderId="13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/>
    <xf numFmtId="164" fontId="11" fillId="2" borderId="0" xfId="0" applyNumberFormat="1" applyFont="1" applyFill="1" applyBorder="1" applyAlignment="1"/>
    <xf numFmtId="164" fontId="11" fillId="2" borderId="0" xfId="0" applyNumberFormat="1" applyFont="1" applyFill="1" applyBorder="1"/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165" fontId="11" fillId="2" borderId="12" xfId="0" applyNumberFormat="1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164" fontId="11" fillId="2" borderId="13" xfId="0" applyNumberFormat="1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left"/>
    </xf>
    <xf numFmtId="2" fontId="11" fillId="2" borderId="15" xfId="0" applyNumberFormat="1" applyFont="1" applyFill="1" applyBorder="1" applyAlignment="1">
      <alignment horizontal="center"/>
    </xf>
    <xf numFmtId="164" fontId="11" fillId="2" borderId="14" xfId="0" applyNumberFormat="1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Particulate Emissions vs. Gas Flow Rate</a:t>
            </a:r>
          </a:p>
        </c:rich>
      </c:tx>
      <c:layout>
        <c:manualLayout>
          <c:xMode val="edge"/>
          <c:yMode val="edge"/>
          <c:x val="0.26861693012862925"/>
          <c:y val="3.42623573557659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16298789796455"/>
          <c:y val="0.16060480010515293"/>
          <c:w val="0.81879618460895431"/>
          <c:h val="0.6852471471153192"/>
        </c:manualLayout>
      </c:layout>
      <c:scatterChart>
        <c:scatterStyle val="lineMarker"/>
        <c:varyColors val="0"/>
        <c:ser>
          <c:idx val="0"/>
          <c:order val="0"/>
          <c:tx>
            <c:v>Particulate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y"/>
            <c:errBarType val="both"/>
            <c:errValType val="percentage"/>
            <c:noEndCap val="0"/>
            <c:val val="5"/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'Emmsn Factrs'!$M$155:$M$164</c:f>
              <c:numCache>
                <c:formatCode>General</c:formatCode>
                <c:ptCount val="10"/>
                <c:pt idx="0">
                  <c:v>0</c:v>
                </c:pt>
                <c:pt idx="1">
                  <c:v>20</c:v>
                </c:pt>
                <c:pt idx="2">
                  <c:v>35</c:v>
                </c:pt>
                <c:pt idx="3">
                  <c:v>35</c:v>
                </c:pt>
                <c:pt idx="4">
                  <c:v>35</c:v>
                </c:pt>
                <c:pt idx="5">
                  <c:v>35</c:v>
                </c:pt>
                <c:pt idx="6">
                  <c:v>35</c:v>
                </c:pt>
                <c:pt idx="7">
                  <c:v>35</c:v>
                </c:pt>
                <c:pt idx="8">
                  <c:v>35</c:v>
                </c:pt>
                <c:pt idx="9">
                  <c:v>50</c:v>
                </c:pt>
              </c:numCache>
            </c:numRef>
          </c:xVal>
          <c:yVal>
            <c:numRef>
              <c:f>'Emmsn Factrs'!$J$155:$J$164</c:f>
              <c:numCache>
                <c:formatCode>0.00</c:formatCode>
                <c:ptCount val="10"/>
                <c:pt idx="0">
                  <c:v>4.8684349531890954</c:v>
                </c:pt>
                <c:pt idx="1">
                  <c:v>5.6710068045553053</c:v>
                </c:pt>
                <c:pt idx="2">
                  <c:v>7.5422446880577061</c:v>
                </c:pt>
                <c:pt idx="3">
                  <c:v>7.1664528035193538</c:v>
                </c:pt>
                <c:pt idx="4">
                  <c:v>7.3875242337592857</c:v>
                </c:pt>
                <c:pt idx="5">
                  <c:v>7.7995049654409963</c:v>
                </c:pt>
                <c:pt idx="6">
                  <c:v>9.6169869187606594</c:v>
                </c:pt>
                <c:pt idx="7">
                  <c:v>9.6417729675202715</c:v>
                </c:pt>
                <c:pt idx="8">
                  <c:v>10.88396818091392</c:v>
                </c:pt>
                <c:pt idx="9">
                  <c:v>8.2446455347611707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875-40FB-8299-D77346481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2684383"/>
        <c:axId val="1"/>
      </c:scatterChart>
      <c:valAx>
        <c:axId val="152268438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Shielding Gas Flow Rate (cfh)</a:t>
                </a:r>
              </a:p>
            </c:rich>
          </c:tx>
          <c:layout>
            <c:manualLayout>
              <c:xMode val="edge"/>
              <c:yMode val="edge"/>
              <c:x val="0.39321634952564399"/>
              <c:y val="0.912235264597268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Particle Emissions (g/kg)</a:t>
                </a:r>
              </a:p>
            </c:rich>
          </c:tx>
          <c:layout>
            <c:manualLayout>
              <c:xMode val="edge"/>
              <c:yMode val="edge"/>
              <c:x val="3.0745311279782868E-2"/>
              <c:y val="0.3340579842187181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22684383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Cr(VI) Emissions vs. Gas Flow Rate</a:t>
            </a:r>
          </a:p>
        </c:rich>
      </c:tx>
      <c:layout>
        <c:manualLayout>
          <c:xMode val="edge"/>
          <c:yMode val="edge"/>
          <c:x val="0.30032900795787326"/>
          <c:y val="3.50120472001869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56700925575644"/>
          <c:y val="0.16411897125087638"/>
          <c:w val="0.80992982465234964"/>
          <c:h val="0.67835841450362233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'Emmsn Factrs'!$M$155:$M$164</c:f>
              <c:numCache>
                <c:formatCode>General</c:formatCode>
                <c:ptCount val="10"/>
                <c:pt idx="0">
                  <c:v>0</c:v>
                </c:pt>
                <c:pt idx="1">
                  <c:v>20</c:v>
                </c:pt>
                <c:pt idx="2">
                  <c:v>35</c:v>
                </c:pt>
                <c:pt idx="3">
                  <c:v>35</c:v>
                </c:pt>
                <c:pt idx="4">
                  <c:v>35</c:v>
                </c:pt>
                <c:pt idx="5">
                  <c:v>35</c:v>
                </c:pt>
                <c:pt idx="6">
                  <c:v>35</c:v>
                </c:pt>
                <c:pt idx="7">
                  <c:v>35</c:v>
                </c:pt>
                <c:pt idx="8">
                  <c:v>35</c:v>
                </c:pt>
                <c:pt idx="9">
                  <c:v>50</c:v>
                </c:pt>
              </c:numCache>
            </c:numRef>
          </c:xVal>
          <c:yVal>
            <c:numRef>
              <c:f>'Emmsn Factrs'!$K$155:$K$164</c:f>
              <c:numCache>
                <c:formatCode>0.0000</c:formatCode>
                <c:ptCount val="10"/>
                <c:pt idx="0">
                  <c:v>0.26691638111775634</c:v>
                </c:pt>
                <c:pt idx="1">
                  <c:v>1.4521828138807757E-2</c:v>
                </c:pt>
                <c:pt idx="2">
                  <c:v>1.5876980552831113E-2</c:v>
                </c:pt>
                <c:pt idx="3">
                  <c:v>1.5103583666464864E-2</c:v>
                </c:pt>
                <c:pt idx="4">
                  <c:v>1.3947531218078141E-2</c:v>
                </c:pt>
                <c:pt idx="5">
                  <c:v>1.4916190815877863E-2</c:v>
                </c:pt>
                <c:pt idx="6">
                  <c:v>1.4271608587440773E-2</c:v>
                </c:pt>
                <c:pt idx="7">
                  <c:v>1.3234445910187119E-2</c:v>
                </c:pt>
                <c:pt idx="8">
                  <c:v>2.2275095088582379E-2</c:v>
                </c:pt>
                <c:pt idx="9">
                  <c:v>1.3502192571928114E-2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C78-4E93-B652-3C122CA3E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2691455"/>
        <c:axId val="1"/>
      </c:scatterChart>
      <c:valAx>
        <c:axId val="152269145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Shielding Gas Flow Rate (cfh)</a:t>
                </a:r>
              </a:p>
            </c:rich>
          </c:tx>
          <c:layout>
            <c:manualLayout>
              <c:xMode val="edge"/>
              <c:yMode val="edge"/>
              <c:x val="0.39937368079504415"/>
              <c:y val="0.910313227204860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Cr(VI) emissions (g/kg)</a:t>
                </a:r>
              </a:p>
            </c:rich>
          </c:tx>
          <c:layout>
            <c:manualLayout>
              <c:xMode val="edge"/>
              <c:yMode val="edge"/>
              <c:x val="3.035239974042336E-2"/>
              <c:y val="0.34574396610184621"/>
            </c:manualLayout>
          </c:layout>
          <c:overlay val="0"/>
          <c:spPr>
            <a:noFill/>
            <a:ln w="25400">
              <a:noFill/>
            </a:ln>
          </c:spPr>
        </c:title>
        <c:numFmt formatCode="0.0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22691455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Effect of Gas Composition</a:t>
            </a:r>
          </a:p>
        </c:rich>
      </c:tx>
      <c:layout>
        <c:manualLayout>
          <c:xMode val="edge"/>
          <c:yMode val="edge"/>
          <c:x val="0.34783719811559449"/>
          <c:y val="3.31394454234074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43473889978575"/>
          <c:y val="0.1520515731191634"/>
          <c:w val="0.71216667717632498"/>
          <c:h val="0.70762462874687571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'Emmsn Factrs'!$Z$155:$Z$161</c:f>
              <c:numCache>
                <c:formatCode>General</c:formatCode>
                <c:ptCount val="7"/>
                <c:pt idx="0">
                  <c:v>100</c:v>
                </c:pt>
                <c:pt idx="1">
                  <c:v>100</c:v>
                </c:pt>
                <c:pt idx="2">
                  <c:v>95</c:v>
                </c:pt>
                <c:pt idx="3">
                  <c:v>95</c:v>
                </c:pt>
                <c:pt idx="4">
                  <c:v>75</c:v>
                </c:pt>
                <c:pt idx="5">
                  <c:v>75</c:v>
                </c:pt>
                <c:pt idx="6">
                  <c:v>75</c:v>
                </c:pt>
              </c:numCache>
            </c:numRef>
          </c:xVal>
          <c:yVal>
            <c:numRef>
              <c:f>'Emmsn Factrs'!$AA$155:$AA$161</c:f>
              <c:numCache>
                <c:formatCode>0.0000</c:formatCode>
                <c:ptCount val="7"/>
                <c:pt idx="0">
                  <c:v>9.3085340586633227E-3</c:v>
                </c:pt>
                <c:pt idx="1">
                  <c:v>1.1840358936138865E-2</c:v>
                </c:pt>
                <c:pt idx="2">
                  <c:v>1.4503438151079731E-2</c:v>
                </c:pt>
                <c:pt idx="3">
                  <c:v>1.0150210807049947E-2</c:v>
                </c:pt>
                <c:pt idx="4">
                  <c:v>4.6010387772758496E-3</c:v>
                </c:pt>
                <c:pt idx="5">
                  <c:v>8.9305022627039991E-3</c:v>
                </c:pt>
                <c:pt idx="6">
                  <c:v>1.2406591238285055E-2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5E3-42E6-98CE-1DBEC36407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8984895"/>
        <c:axId val="1"/>
      </c:scatterChart>
      <c:valAx>
        <c:axId val="1668984895"/>
        <c:scaling>
          <c:orientation val="minMax"/>
          <c:max val="110"/>
          <c:min val="50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Ar</a:t>
                </a:r>
              </a:p>
            </c:rich>
          </c:tx>
          <c:layout>
            <c:manualLayout>
              <c:xMode val="edge"/>
              <c:yMode val="edge"/>
              <c:x val="0.47077965607024425"/>
              <c:y val="0.920106955285193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10"/>
        <c:minorUnit val="5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Cr(VI)</a:t>
                </a:r>
              </a:p>
            </c:rich>
          </c:tx>
          <c:layout>
            <c:manualLayout>
              <c:xMode val="edge"/>
              <c:yMode val="edge"/>
              <c:x val="2.8486667087053E-2"/>
              <c:y val="0.46785099421281046"/>
            </c:manualLayout>
          </c:layout>
          <c:overlay val="0"/>
          <c:spPr>
            <a:noFill/>
            <a:ln w="25400">
              <a:noFill/>
            </a:ln>
          </c:spPr>
        </c:title>
        <c:numFmt formatCode="0.0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68984895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08387276960155"/>
          <c:y val="0.48539540649579077"/>
          <c:w val="9.5955089135336416E-2"/>
          <c:h val="4.288634113617428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Effect of Power Input</a:t>
            </a:r>
          </a:p>
        </c:rich>
      </c:tx>
      <c:layout>
        <c:manualLayout>
          <c:xMode val="edge"/>
          <c:yMode val="edge"/>
          <c:x val="0.39408048546236718"/>
          <c:y val="3.30749854777113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8350109705174"/>
          <c:y val="0.14397346619709661"/>
          <c:w val="0.81076056865734325"/>
          <c:h val="0.7120849814613156"/>
        </c:manualLayout>
      </c:layout>
      <c:scatterChart>
        <c:scatterStyle val="lineMarker"/>
        <c:varyColors val="0"/>
        <c:ser>
          <c:idx val="0"/>
          <c:order val="0"/>
          <c:tx>
            <c:v>Effect of Power Input</c:v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'Emmsn Factrs'!$AB$159:$AB$161</c:f>
              <c:numCache>
                <c:formatCode>General</c:formatCode>
                <c:ptCount val="3"/>
                <c:pt idx="0">
                  <c:v>3269.6</c:v>
                </c:pt>
                <c:pt idx="1">
                  <c:v>3931.2</c:v>
                </c:pt>
                <c:pt idx="2">
                  <c:v>5200.2</c:v>
                </c:pt>
              </c:numCache>
            </c:numRef>
          </c:xVal>
          <c:yVal>
            <c:numRef>
              <c:f>'Emmsn Factrs'!$AC$159:$AC$161</c:f>
              <c:numCache>
                <c:formatCode>0.0000</c:formatCode>
                <c:ptCount val="3"/>
                <c:pt idx="0">
                  <c:v>4.6010387772758496E-3</c:v>
                </c:pt>
                <c:pt idx="1">
                  <c:v>8.9305022627039991E-3</c:v>
                </c:pt>
                <c:pt idx="2">
                  <c:v>1.2406591238285055E-2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642-4F32-BAEE-C51C95883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8991551"/>
        <c:axId val="1"/>
      </c:scatterChart>
      <c:valAx>
        <c:axId val="1668991551"/>
        <c:scaling>
          <c:orientation val="minMax"/>
          <c:min val="3000"/>
        </c:scaling>
        <c:delete val="0"/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Power - [W]</a:t>
                </a:r>
              </a:p>
            </c:rich>
          </c:tx>
          <c:layout>
            <c:manualLayout>
              <c:xMode val="edge"/>
              <c:yMode val="edge"/>
              <c:x val="0.48589135125109068"/>
              <c:y val="0.918317243851751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Cr(VI)</a:t>
                </a:r>
              </a:p>
            </c:rich>
          </c:tx>
          <c:layout>
            <c:manualLayout>
              <c:xMode val="edge"/>
              <c:yMode val="edge"/>
              <c:x val="2.6837022307473035E-2"/>
              <c:y val="0.45915862192587564"/>
            </c:manualLayout>
          </c:layout>
          <c:overlay val="0"/>
          <c:spPr>
            <a:noFill/>
            <a:ln w="25400">
              <a:noFill/>
            </a:ln>
          </c:spPr>
        </c:title>
        <c:numFmt formatCode="0.0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68991551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%-Greater than PM 2.5 vs. Fume Generation Rate</a:t>
            </a:r>
          </a:p>
        </c:rich>
      </c:tx>
      <c:layout>
        <c:manualLayout>
          <c:xMode val="edge"/>
          <c:yMode val="edge"/>
          <c:x val="0.17222754267264551"/>
          <c:y val="3.33344580005462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94929291942694"/>
          <c:y val="0.19020249565017588"/>
          <c:w val="0.45418069720931514"/>
          <c:h val="0.60982449636293501"/>
        </c:manualLayout>
      </c:layout>
      <c:scatterChart>
        <c:scatterStyle val="lineMarker"/>
        <c:varyColors val="0"/>
        <c:ser>
          <c:idx val="0"/>
          <c:order val="0"/>
          <c:tx>
            <c:v>Percent &gt; 2.5 Other</c:v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0"/>
            <c:trendlineLbl>
              <c:layout>
                <c:manualLayout>
                  <c:x val="0.11726157783922353"/>
                  <c:y val="-5.8283378547076381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1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'FGR vs Size'!$A$2:$A$9</c:f>
              <c:numCache>
                <c:formatCode>0.000</c:formatCode>
                <c:ptCount val="8"/>
                <c:pt idx="0">
                  <c:v>0.42899999999999999</c:v>
                </c:pt>
                <c:pt idx="1">
                  <c:v>0.46500000000000002</c:v>
                </c:pt>
                <c:pt idx="2">
                  <c:v>0.38300000000000001</c:v>
                </c:pt>
                <c:pt idx="3">
                  <c:v>0.35599999999999998</c:v>
                </c:pt>
                <c:pt idx="4">
                  <c:v>0.46899999999999997</c:v>
                </c:pt>
                <c:pt idx="5">
                  <c:v>0.66900000000000004</c:v>
                </c:pt>
                <c:pt idx="6">
                  <c:v>0.441</c:v>
                </c:pt>
                <c:pt idx="7">
                  <c:v>0.44400000000000001</c:v>
                </c:pt>
              </c:numCache>
            </c:numRef>
          </c:xVal>
          <c:yVal>
            <c:numRef>
              <c:f>'FGR vs Size'!$B$2:$B$9</c:f>
              <c:numCache>
                <c:formatCode>0.000</c:formatCode>
                <c:ptCount val="8"/>
                <c:pt idx="0">
                  <c:v>0.29776591852437417</c:v>
                </c:pt>
                <c:pt idx="1">
                  <c:v>0.41539412645161289</c:v>
                </c:pt>
                <c:pt idx="2">
                  <c:v>0.29228776983539573</c:v>
                </c:pt>
                <c:pt idx="3">
                  <c:v>0.40018637717635563</c:v>
                </c:pt>
                <c:pt idx="4">
                  <c:v>0.33091703315472321</c:v>
                </c:pt>
                <c:pt idx="5">
                  <c:v>0.50238022819263017</c:v>
                </c:pt>
                <c:pt idx="6">
                  <c:v>0.38893902480922804</c:v>
                </c:pt>
                <c:pt idx="7">
                  <c:v>0.43432855581668628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31E-41C5-9B86-5F4047B5B8BF}"/>
            </c:ext>
          </c:extLst>
        </c:ser>
        <c:ser>
          <c:idx val="1"/>
          <c:order val="1"/>
          <c:tx>
            <c:v>Percent &gt; 2.5 Pulsed</c:v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0"/>
            <c:trendlineLbl>
              <c:layout>
                <c:manualLayout>
                  <c:x val="3.3989312153641538E-2"/>
                  <c:y val="-1.7662639273343106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1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'FGR vs Size'!$A$10:$A$15</c:f>
              <c:numCache>
                <c:formatCode>0.000</c:formatCode>
                <c:ptCount val="6"/>
                <c:pt idx="0">
                  <c:v>0.19</c:v>
                </c:pt>
                <c:pt idx="1">
                  <c:v>0.17899999999999999</c:v>
                </c:pt>
                <c:pt idx="2">
                  <c:v>0.20399999999999999</c:v>
                </c:pt>
                <c:pt idx="3">
                  <c:v>0.39100000000000001</c:v>
                </c:pt>
                <c:pt idx="4">
                  <c:v>0.43157894736841868</c:v>
                </c:pt>
                <c:pt idx="5">
                  <c:v>0.39</c:v>
                </c:pt>
              </c:numCache>
            </c:numRef>
          </c:xVal>
          <c:yVal>
            <c:numRef>
              <c:f>'FGR vs Size'!$B$10:$B$15</c:f>
              <c:numCache>
                <c:formatCode>0.000</c:formatCode>
                <c:ptCount val="6"/>
                <c:pt idx="0">
                  <c:v>0.19684695740045766</c:v>
                </c:pt>
                <c:pt idx="1">
                  <c:v>0.21498757891668685</c:v>
                </c:pt>
                <c:pt idx="2">
                  <c:v>0.29445264422847384</c:v>
                </c:pt>
                <c:pt idx="3">
                  <c:v>0.56471467482708759</c:v>
                </c:pt>
                <c:pt idx="4">
                  <c:v>0.77497865887677497</c:v>
                </c:pt>
                <c:pt idx="5">
                  <c:v>0.66057665669565213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31E-41C5-9B86-5F4047B5B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8991135"/>
        <c:axId val="1"/>
      </c:scatterChart>
      <c:valAx>
        <c:axId val="166899113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Fume Generation Rate - [g/min]</a:t>
                </a:r>
              </a:p>
            </c:rich>
          </c:tx>
          <c:layout>
            <c:manualLayout>
              <c:xMode val="edge"/>
              <c:yMode val="edge"/>
              <c:x val="0.17361647446839262"/>
              <c:y val="0.888265263191027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%-Greater than PM 2.5</a:t>
                </a:r>
              </a:p>
            </c:rich>
          </c:tx>
          <c:layout>
            <c:manualLayout>
              <c:xMode val="edge"/>
              <c:yMode val="edge"/>
              <c:x val="2.6389704119195681E-2"/>
              <c:y val="0.2784407668280924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68991135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835367118414478"/>
          <c:y val="0.29608842106367583"/>
          <c:w val="0.32639897200057816"/>
          <c:h val="0.401974346477175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320040</xdr:colOff>
      <xdr:row>167</xdr:row>
      <xdr:rowOff>7620</xdr:rowOff>
    </xdr:from>
    <xdr:to>
      <xdr:col>9</xdr:col>
      <xdr:colOff>220980</xdr:colOff>
      <xdr:row>188</xdr:row>
      <xdr:rowOff>45720</xdr:rowOff>
    </xdr:to>
    <xdr:graphicFrame macro="">
      <xdr:nvGraphicFramePr>
        <xdr:cNvPr id="1025" name="Chart 1" descr="particulate Emissions vs Gas Flow Rate graph">
          <a:extLst>
            <a:ext uri="{FF2B5EF4-FFF2-40B4-BE49-F238E27FC236}">
              <a16:creationId xmlns:a16="http://schemas.microsoft.com/office/drawing/2014/main" id="{00000000-0008-0000-04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274320</xdr:colOff>
      <xdr:row>190</xdr:row>
      <xdr:rowOff>68580</xdr:rowOff>
    </xdr:from>
    <xdr:to>
      <xdr:col>9</xdr:col>
      <xdr:colOff>236220</xdr:colOff>
      <xdr:row>211</xdr:row>
      <xdr:rowOff>30480</xdr:rowOff>
    </xdr:to>
    <xdr:graphicFrame macro="">
      <xdr:nvGraphicFramePr>
        <xdr:cNvPr id="1026" name="Chart 2" descr="Chrome six emissions vs Gas Flow Rate graph">
          <a:extLst>
            <a:ext uri="{FF2B5EF4-FFF2-40B4-BE49-F238E27FC236}">
              <a16:creationId xmlns:a16="http://schemas.microsoft.com/office/drawing/2014/main" id="{00000000-0008-0000-04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7620</xdr:colOff>
      <xdr:row>162</xdr:row>
      <xdr:rowOff>160020</xdr:rowOff>
    </xdr:from>
    <xdr:to>
      <xdr:col>22</xdr:col>
      <xdr:colOff>0</xdr:colOff>
      <xdr:row>186</xdr:row>
      <xdr:rowOff>45720</xdr:rowOff>
    </xdr:to>
    <xdr:graphicFrame macro="">
      <xdr:nvGraphicFramePr>
        <xdr:cNvPr id="1028" name="Chart 4" descr="effect on gas composition graph">
          <a:extLst>
            <a:ext uri="{FF2B5EF4-FFF2-40B4-BE49-F238E27FC236}">
              <a16:creationId xmlns:a16="http://schemas.microsoft.com/office/drawing/2014/main" id="{00000000-0008-0000-0400-00000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0</xdr:colOff>
      <xdr:row>163</xdr:row>
      <xdr:rowOff>7620</xdr:rowOff>
    </xdr:from>
    <xdr:to>
      <xdr:col>31</xdr:col>
      <xdr:colOff>7620</xdr:colOff>
      <xdr:row>186</xdr:row>
      <xdr:rowOff>68580</xdr:rowOff>
    </xdr:to>
    <xdr:graphicFrame macro="">
      <xdr:nvGraphicFramePr>
        <xdr:cNvPr id="1029" name="Chart 5" descr="effect on power input graph">
          <a:extLst>
            <a:ext uri="{FF2B5EF4-FFF2-40B4-BE49-F238E27FC236}">
              <a16:creationId xmlns:a16="http://schemas.microsoft.com/office/drawing/2014/main" id="{00000000-0008-0000-0400-000005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12</xdr:col>
      <xdr:colOff>0</xdr:colOff>
      <xdr:row>24</xdr:row>
      <xdr:rowOff>7620</xdr:rowOff>
    </xdr:to>
    <xdr:graphicFrame macro="">
      <xdr:nvGraphicFramePr>
        <xdr:cNvPr id="3077" name="Chart 5" descr="graph showing greater than 2.5 particulate matter vs fume generation rate ">
          <a:extLst>
            <a:ext uri="{FF2B5EF4-FFF2-40B4-BE49-F238E27FC236}">
              <a16:creationId xmlns:a16="http://schemas.microsoft.com/office/drawing/2014/main" id="{00000000-0008-0000-0700-000005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46"/>
  <sheetViews>
    <sheetView zoomScale="50" zoomScaleNormal="75" zoomScaleSheetLayoutView="75" workbookViewId="0">
      <selection activeCell="AC25" sqref="AC25"/>
    </sheetView>
  </sheetViews>
  <sheetFormatPr defaultRowHeight="13.2" x14ac:dyDescent="0.25"/>
  <cols>
    <col min="1" max="1" width="6.5546875" bestFit="1" customWidth="1"/>
    <col min="2" max="2" width="21.6640625" style="1" bestFit="1" customWidth="1"/>
    <col min="3" max="3" width="10.109375" style="7" bestFit="1" customWidth="1"/>
    <col min="4" max="4" width="9.44140625" bestFit="1" customWidth="1"/>
    <col min="5" max="5" width="9.109375" style="1" bestFit="1" customWidth="1"/>
    <col min="6" max="6" width="6.5546875" customWidth="1"/>
    <col min="7" max="7" width="8.5546875" style="1" bestFit="1" customWidth="1"/>
    <col min="8" max="8" width="9.33203125" style="1" bestFit="1" customWidth="1"/>
    <col min="9" max="9" width="9.109375" style="1" customWidth="1"/>
    <col min="11" max="12" width="9.44140625" style="2" bestFit="1" customWidth="1"/>
    <col min="13" max="15" width="9.44140625" bestFit="1" customWidth="1"/>
    <col min="16" max="16" width="9.44140625" style="2" bestFit="1" customWidth="1"/>
    <col min="17" max="17" width="9.44140625" style="6" bestFit="1" customWidth="1"/>
    <col min="18" max="19" width="9.44140625" style="2" bestFit="1" customWidth="1"/>
    <col min="20" max="20" width="9.44140625" bestFit="1" customWidth="1"/>
    <col min="21" max="23" width="9.44140625" style="90" bestFit="1" customWidth="1"/>
  </cols>
  <sheetData>
    <row r="1" spans="1:26" ht="15.6" x14ac:dyDescent="0.3">
      <c r="A1" s="489" t="s">
        <v>83</v>
      </c>
      <c r="B1" s="490"/>
      <c r="C1" s="491"/>
      <c r="D1" s="492"/>
      <c r="E1" s="490"/>
      <c r="F1" s="492"/>
      <c r="G1" s="490"/>
      <c r="H1" s="490"/>
      <c r="I1" s="490"/>
      <c r="J1" s="492"/>
      <c r="K1" s="493"/>
      <c r="L1" s="493"/>
      <c r="M1" s="492"/>
      <c r="N1" s="492"/>
      <c r="O1" s="492"/>
      <c r="P1" s="493"/>
      <c r="Q1" s="494"/>
      <c r="R1" s="493"/>
      <c r="S1" s="493"/>
      <c r="T1" s="492"/>
      <c r="U1" s="492"/>
      <c r="V1" s="492"/>
      <c r="W1" s="492"/>
      <c r="X1" s="492"/>
      <c r="Y1" s="492"/>
      <c r="Z1" s="492"/>
    </row>
    <row r="2" spans="1:26" ht="15.6" x14ac:dyDescent="0.3">
      <c r="A2" s="492"/>
      <c r="B2" s="490"/>
      <c r="C2" s="495"/>
      <c r="D2" s="490"/>
      <c r="E2" s="490"/>
      <c r="F2" s="490"/>
      <c r="G2" s="490"/>
      <c r="H2" s="490"/>
      <c r="I2" s="490"/>
      <c r="J2" s="490"/>
      <c r="K2" s="496"/>
      <c r="L2" s="496"/>
      <c r="M2" s="490"/>
      <c r="N2" s="490"/>
      <c r="O2" s="490"/>
      <c r="P2" s="496"/>
      <c r="Q2" s="497"/>
      <c r="R2" s="496"/>
      <c r="S2" s="496"/>
      <c r="T2" s="492"/>
      <c r="U2" s="490"/>
      <c r="V2" s="492"/>
      <c r="W2" s="492"/>
      <c r="X2" s="492"/>
      <c r="Y2" s="492"/>
      <c r="Z2" s="492"/>
    </row>
    <row r="3" spans="1:26" ht="16.2" thickBot="1" x14ac:dyDescent="0.35">
      <c r="A3" s="492"/>
      <c r="B3" s="490"/>
      <c r="C3" s="495"/>
      <c r="D3" s="490"/>
      <c r="E3" s="490"/>
      <c r="F3" s="490"/>
      <c r="G3" s="490"/>
      <c r="H3" s="490"/>
      <c r="I3" s="490"/>
      <c r="J3" s="490"/>
      <c r="K3" s="496"/>
      <c r="L3" s="496"/>
      <c r="M3" s="490"/>
      <c r="N3" s="490"/>
      <c r="O3" s="490"/>
      <c r="P3" s="496"/>
      <c r="Q3" s="497"/>
      <c r="R3" s="496"/>
      <c r="S3" s="496"/>
      <c r="T3" s="492"/>
      <c r="U3" s="490"/>
      <c r="V3" s="492"/>
      <c r="W3" s="492"/>
      <c r="X3" s="492"/>
      <c r="Y3" s="492"/>
      <c r="Z3" s="492"/>
    </row>
    <row r="4" spans="1:26" ht="15.6" x14ac:dyDescent="0.3">
      <c r="A4" s="498" t="s">
        <v>21</v>
      </c>
      <c r="B4" s="499" t="s">
        <v>16</v>
      </c>
      <c r="C4" s="500" t="s">
        <v>7</v>
      </c>
      <c r="D4" s="499" t="s">
        <v>58</v>
      </c>
      <c r="E4" s="499" t="s">
        <v>59</v>
      </c>
      <c r="F4" s="501" t="s">
        <v>60</v>
      </c>
      <c r="G4" s="501" t="s">
        <v>14</v>
      </c>
      <c r="H4" s="502" t="s">
        <v>3</v>
      </c>
      <c r="I4" s="499" t="s">
        <v>82</v>
      </c>
      <c r="J4" s="503" t="s">
        <v>13</v>
      </c>
      <c r="K4" s="504"/>
      <c r="L4" s="504"/>
      <c r="M4" s="505"/>
      <c r="N4" s="503" t="s">
        <v>168</v>
      </c>
      <c r="O4" s="504"/>
      <c r="P4" s="504"/>
      <c r="Q4" s="505"/>
      <c r="R4" s="503" t="s">
        <v>30</v>
      </c>
      <c r="S4" s="504"/>
      <c r="T4" s="505"/>
      <c r="U4" s="506" t="s">
        <v>31</v>
      </c>
      <c r="V4" s="507"/>
      <c r="W4" s="508"/>
      <c r="X4" s="492"/>
      <c r="Y4" s="492"/>
      <c r="Z4" s="492"/>
    </row>
    <row r="5" spans="1:26" ht="15.6" x14ac:dyDescent="0.3">
      <c r="A5" s="509"/>
      <c r="B5" s="510"/>
      <c r="C5" s="511"/>
      <c r="D5" s="510"/>
      <c r="E5" s="510"/>
      <c r="F5" s="512"/>
      <c r="G5" s="512"/>
      <c r="H5" s="513"/>
      <c r="I5" s="514"/>
      <c r="J5" s="510"/>
      <c r="K5" s="515" t="s">
        <v>10</v>
      </c>
      <c r="L5" s="515" t="s">
        <v>11</v>
      </c>
      <c r="M5" s="516" t="s">
        <v>12</v>
      </c>
      <c r="N5" s="510"/>
      <c r="O5" s="517"/>
      <c r="P5" s="515"/>
      <c r="Q5" s="518"/>
      <c r="R5" s="519" t="s">
        <v>9</v>
      </c>
      <c r="S5" s="515" t="s">
        <v>15</v>
      </c>
      <c r="T5" s="516" t="s">
        <v>20</v>
      </c>
      <c r="U5" s="519" t="s">
        <v>9</v>
      </c>
      <c r="V5" s="515" t="s">
        <v>15</v>
      </c>
      <c r="W5" s="520" t="s">
        <v>20</v>
      </c>
      <c r="X5" s="492"/>
      <c r="Y5" s="492"/>
      <c r="Z5" s="492"/>
    </row>
    <row r="6" spans="1:26" s="66" customFormat="1" ht="15.6" x14ac:dyDescent="0.3">
      <c r="A6" s="521"/>
      <c r="B6" s="514"/>
      <c r="C6" s="522"/>
      <c r="D6" s="514" t="s">
        <v>74</v>
      </c>
      <c r="E6" s="514" t="s">
        <v>75</v>
      </c>
      <c r="F6" s="523" t="s">
        <v>76</v>
      </c>
      <c r="G6" s="523"/>
      <c r="H6" s="513"/>
      <c r="I6" s="514"/>
      <c r="J6" s="514"/>
      <c r="K6" s="524" t="s">
        <v>4</v>
      </c>
      <c r="L6" s="524" t="s">
        <v>4</v>
      </c>
      <c r="M6" s="513" t="s">
        <v>4</v>
      </c>
      <c r="N6" s="514"/>
      <c r="O6" s="513"/>
      <c r="P6" s="513"/>
      <c r="Q6" s="525"/>
      <c r="R6" s="526" t="s">
        <v>1</v>
      </c>
      <c r="S6" s="524"/>
      <c r="T6" s="527"/>
      <c r="U6" s="526"/>
      <c r="V6" s="524"/>
      <c r="W6" s="528"/>
      <c r="X6" s="490"/>
      <c r="Y6" s="490"/>
      <c r="Z6" s="490"/>
    </row>
    <row r="7" spans="1:26" ht="15.6" x14ac:dyDescent="0.3">
      <c r="A7" s="521"/>
      <c r="B7" s="514"/>
      <c r="C7" s="522"/>
      <c r="D7" s="514"/>
      <c r="E7" s="514"/>
      <c r="F7" s="523"/>
      <c r="G7" s="523"/>
      <c r="H7" s="513"/>
      <c r="I7" s="514"/>
      <c r="J7" s="514"/>
      <c r="K7" s="524"/>
      <c r="L7" s="524"/>
      <c r="M7" s="527"/>
      <c r="N7" s="514"/>
      <c r="O7" s="513"/>
      <c r="P7" s="524"/>
      <c r="Q7" s="529"/>
      <c r="R7" s="526"/>
      <c r="S7" s="524"/>
      <c r="T7" s="527"/>
      <c r="U7" s="514"/>
      <c r="V7" s="530"/>
      <c r="W7" s="531"/>
      <c r="X7" s="492"/>
      <c r="Y7" s="492"/>
      <c r="Z7" s="492"/>
    </row>
    <row r="8" spans="1:26" ht="15.6" x14ac:dyDescent="0.3">
      <c r="A8" s="532">
        <v>1</v>
      </c>
      <c r="B8" s="533" t="s">
        <v>2</v>
      </c>
      <c r="C8" s="534">
        <v>37351</v>
      </c>
      <c r="D8" s="533">
        <v>24</v>
      </c>
      <c r="E8" s="533">
        <v>225</v>
      </c>
      <c r="F8" s="535">
        <v>33.57</v>
      </c>
      <c r="G8" s="535" t="s">
        <v>64</v>
      </c>
      <c r="H8" s="536" t="s">
        <v>6</v>
      </c>
      <c r="I8" s="533" t="s">
        <v>5</v>
      </c>
      <c r="J8" s="533" t="s">
        <v>8</v>
      </c>
      <c r="K8" s="537">
        <v>16.055</v>
      </c>
      <c r="L8" s="537">
        <v>16.22</v>
      </c>
      <c r="M8" s="538">
        <f>L8-K8</f>
        <v>0.16499999999999915</v>
      </c>
      <c r="N8" s="539" t="s">
        <v>164</v>
      </c>
      <c r="O8" s="539" t="s">
        <v>165</v>
      </c>
      <c r="P8" s="540" t="s">
        <v>166</v>
      </c>
      <c r="Q8" s="541" t="s">
        <v>167</v>
      </c>
      <c r="R8" s="542">
        <f>60*SUM(M8:M11)/F8</f>
        <v>0.29490616621983762</v>
      </c>
      <c r="S8" s="537">
        <f>100*SUM(M8:M11)/P11</f>
        <v>0.48704890902638109</v>
      </c>
      <c r="T8" s="538">
        <f>1000*SUM(M8:M11)/P11</f>
        <v>4.8704890902638107</v>
      </c>
      <c r="U8" s="533">
        <v>0.43</v>
      </c>
      <c r="V8" s="536">
        <v>0.67</v>
      </c>
      <c r="W8" s="543" t="s">
        <v>42</v>
      </c>
      <c r="X8" s="492"/>
      <c r="Y8" s="492"/>
      <c r="Z8" s="492"/>
    </row>
    <row r="9" spans="1:26" ht="15.6" x14ac:dyDescent="0.3">
      <c r="A9" s="532"/>
      <c r="B9" s="535" t="s">
        <v>85</v>
      </c>
      <c r="C9" s="534"/>
      <c r="D9" s="533"/>
      <c r="E9" s="533"/>
      <c r="F9" s="535"/>
      <c r="G9" s="535" t="s">
        <v>65</v>
      </c>
      <c r="H9" s="536" t="s">
        <v>62</v>
      </c>
      <c r="I9" s="533" t="s">
        <v>114</v>
      </c>
      <c r="J9" s="533"/>
      <c r="K9" s="537"/>
      <c r="L9" s="537"/>
      <c r="M9" s="538">
        <f>L9-K9</f>
        <v>0</v>
      </c>
      <c r="N9" s="533">
        <v>167.85</v>
      </c>
      <c r="O9" s="536">
        <v>0</v>
      </c>
      <c r="P9" s="537">
        <v>0.20183200000000001</v>
      </c>
      <c r="Q9" s="541">
        <f>N9-O9</f>
        <v>167.85</v>
      </c>
      <c r="R9" s="542"/>
      <c r="S9" s="537"/>
      <c r="T9" s="538"/>
      <c r="U9" s="533"/>
      <c r="V9" s="544"/>
      <c r="W9" s="545"/>
      <c r="X9" s="492"/>
      <c r="Y9" s="492"/>
      <c r="Z9" s="492"/>
    </row>
    <row r="10" spans="1:26" ht="15.6" x14ac:dyDescent="0.3">
      <c r="A10" s="532"/>
      <c r="B10" s="533" t="s">
        <v>27</v>
      </c>
      <c r="C10" s="534"/>
      <c r="D10" s="533"/>
      <c r="E10" s="533"/>
      <c r="F10" s="535"/>
      <c r="G10" s="535"/>
      <c r="H10" s="536" t="s">
        <v>63</v>
      </c>
      <c r="I10" s="533"/>
      <c r="J10" s="533"/>
      <c r="K10" s="537"/>
      <c r="L10" s="537"/>
      <c r="M10" s="538">
        <f>L10-K10</f>
        <v>0</v>
      </c>
      <c r="N10" s="546"/>
      <c r="O10" s="546"/>
      <c r="P10" s="547"/>
      <c r="Q10" s="548"/>
      <c r="R10" s="542"/>
      <c r="S10" s="537"/>
      <c r="T10" s="538"/>
      <c r="U10" s="549" t="s">
        <v>172</v>
      </c>
      <c r="V10" s="550"/>
      <c r="W10" s="551"/>
      <c r="X10" s="492"/>
      <c r="Y10" s="492"/>
      <c r="Z10" s="492"/>
    </row>
    <row r="11" spans="1:26" ht="15.6" x14ac:dyDescent="0.3">
      <c r="A11" s="532"/>
      <c r="B11" s="533"/>
      <c r="C11" s="534"/>
      <c r="D11" s="533"/>
      <c r="E11" s="533"/>
      <c r="F11" s="535"/>
      <c r="G11" s="535"/>
      <c r="H11" s="536"/>
      <c r="I11" s="533"/>
      <c r="J11" s="533"/>
      <c r="K11" s="537"/>
      <c r="L11" s="537"/>
      <c r="M11" s="538">
        <f>L11-K11</f>
        <v>0</v>
      </c>
      <c r="N11" s="549" t="s">
        <v>18</v>
      </c>
      <c r="O11" s="550"/>
      <c r="P11" s="537">
        <f>(N9-O9)*P9</f>
        <v>33.877501199999998</v>
      </c>
      <c r="Q11" s="541" t="s">
        <v>163</v>
      </c>
      <c r="R11" s="542"/>
      <c r="S11" s="537"/>
      <c r="T11" s="538"/>
      <c r="U11" s="533"/>
      <c r="V11" s="544"/>
      <c r="W11" s="545"/>
      <c r="X11" s="492"/>
      <c r="Y11" s="492"/>
      <c r="Z11" s="492"/>
    </row>
    <row r="12" spans="1:26" ht="15.6" x14ac:dyDescent="0.3">
      <c r="A12" s="532"/>
      <c r="B12" s="533"/>
      <c r="C12" s="534"/>
      <c r="D12" s="533"/>
      <c r="E12" s="533"/>
      <c r="F12" s="535"/>
      <c r="G12" s="535"/>
      <c r="H12" s="536"/>
      <c r="I12" s="533"/>
      <c r="J12" s="533"/>
      <c r="K12" s="537"/>
      <c r="L12" s="537"/>
      <c r="M12" s="552"/>
      <c r="N12" s="533"/>
      <c r="O12" s="536"/>
      <c r="P12" s="537"/>
      <c r="Q12" s="541">
        <f>60*Q9/F8</f>
        <v>300</v>
      </c>
      <c r="R12" s="542"/>
      <c r="S12" s="537"/>
      <c r="T12" s="538"/>
      <c r="U12" s="533"/>
      <c r="V12" s="544"/>
      <c r="W12" s="545"/>
      <c r="X12" s="492"/>
      <c r="Y12" s="492"/>
      <c r="Z12" s="492"/>
    </row>
    <row r="13" spans="1:26" ht="15.6" x14ac:dyDescent="0.3">
      <c r="A13" s="521">
        <v>2</v>
      </c>
      <c r="B13" s="514" t="s">
        <v>2</v>
      </c>
      <c r="C13" s="522">
        <v>37364</v>
      </c>
      <c r="D13" s="514">
        <v>24</v>
      </c>
      <c r="E13" s="514">
        <v>225</v>
      </c>
      <c r="F13" s="523">
        <v>29.31</v>
      </c>
      <c r="G13" s="523" t="s">
        <v>64</v>
      </c>
      <c r="H13" s="513" t="s">
        <v>6</v>
      </c>
      <c r="I13" s="514" t="s">
        <v>5</v>
      </c>
      <c r="J13" s="514" t="s">
        <v>17</v>
      </c>
      <c r="K13" s="524">
        <v>13.449</v>
      </c>
      <c r="L13" s="524">
        <v>13.486000000000001</v>
      </c>
      <c r="M13" s="527">
        <f>L13-K13</f>
        <v>3.700000000000081E-2</v>
      </c>
      <c r="N13" s="490" t="s">
        <v>164</v>
      </c>
      <c r="O13" s="490" t="s">
        <v>165</v>
      </c>
      <c r="P13" s="496" t="s">
        <v>166</v>
      </c>
      <c r="Q13" s="497" t="s">
        <v>167</v>
      </c>
      <c r="R13" s="526">
        <f>60*SUM(M13:M16)/F13</f>
        <v>0.38075742067554091</v>
      </c>
      <c r="S13" s="524">
        <f>100*SUM(M13:M16)/P16</f>
        <v>0.65474850722621192</v>
      </c>
      <c r="T13" s="527">
        <f>1000*SUM(M13:M16)/P16</f>
        <v>6.5474850722621181</v>
      </c>
      <c r="U13" s="553">
        <v>0.43</v>
      </c>
      <c r="V13" s="554">
        <v>0.67</v>
      </c>
      <c r="W13" s="555" t="s">
        <v>42</v>
      </c>
      <c r="X13" s="492"/>
      <c r="Y13" s="492"/>
      <c r="Z13" s="492"/>
    </row>
    <row r="14" spans="1:26" ht="15.6" x14ac:dyDescent="0.3">
      <c r="A14" s="521"/>
      <c r="B14" s="514" t="s">
        <v>85</v>
      </c>
      <c r="C14" s="522"/>
      <c r="D14" s="514"/>
      <c r="E14" s="514"/>
      <c r="F14" s="523"/>
      <c r="G14" s="523" t="s">
        <v>65</v>
      </c>
      <c r="H14" s="513" t="s">
        <v>62</v>
      </c>
      <c r="I14" s="514" t="s">
        <v>114</v>
      </c>
      <c r="J14" s="514" t="s">
        <v>8</v>
      </c>
      <c r="K14" s="524">
        <v>15.565</v>
      </c>
      <c r="L14" s="524">
        <v>15.714</v>
      </c>
      <c r="M14" s="527">
        <f>L14-K14</f>
        <v>0.14900000000000091</v>
      </c>
      <c r="N14" s="514">
        <v>351</v>
      </c>
      <c r="O14" s="513">
        <v>210.25</v>
      </c>
      <c r="P14" s="524">
        <v>0.20183200000000001</v>
      </c>
      <c r="Q14" s="556">
        <f>N14-O14</f>
        <v>140.75</v>
      </c>
      <c r="R14" s="526"/>
      <c r="S14" s="524"/>
      <c r="T14" s="527"/>
      <c r="U14" s="553"/>
      <c r="V14" s="557"/>
      <c r="W14" s="558"/>
      <c r="X14" s="492"/>
      <c r="Y14" s="492"/>
      <c r="Z14" s="492"/>
    </row>
    <row r="15" spans="1:26" ht="15.6" x14ac:dyDescent="0.3">
      <c r="A15" s="521"/>
      <c r="B15" s="514" t="s">
        <v>27</v>
      </c>
      <c r="C15" s="522"/>
      <c r="D15" s="514"/>
      <c r="E15" s="514"/>
      <c r="F15" s="523"/>
      <c r="G15" s="523"/>
      <c r="H15" s="513" t="s">
        <v>63</v>
      </c>
      <c r="I15" s="514"/>
      <c r="J15" s="514"/>
      <c r="K15" s="524"/>
      <c r="L15" s="524"/>
      <c r="M15" s="527">
        <f>L15-K15</f>
        <v>0</v>
      </c>
      <c r="N15" s="492"/>
      <c r="O15" s="492"/>
      <c r="P15" s="493"/>
      <c r="Q15" s="556"/>
      <c r="R15" s="526"/>
      <c r="S15" s="524"/>
      <c r="T15" s="527"/>
      <c r="U15" s="559" t="s">
        <v>173</v>
      </c>
      <c r="V15" s="560"/>
      <c r="W15" s="561"/>
      <c r="X15" s="492"/>
      <c r="Y15" s="492"/>
      <c r="Z15" s="492"/>
    </row>
    <row r="16" spans="1:26" ht="15.6" x14ac:dyDescent="0.3">
      <c r="A16" s="521"/>
      <c r="B16" s="514"/>
      <c r="C16" s="522"/>
      <c r="D16" s="514"/>
      <c r="E16" s="514"/>
      <c r="F16" s="523"/>
      <c r="G16" s="523"/>
      <c r="H16" s="513"/>
      <c r="I16" s="514"/>
      <c r="J16" s="514"/>
      <c r="K16" s="524"/>
      <c r="L16" s="524"/>
      <c r="M16" s="527">
        <f>L16-K16</f>
        <v>0</v>
      </c>
      <c r="N16" s="559" t="s">
        <v>18</v>
      </c>
      <c r="O16" s="560"/>
      <c r="P16" s="524">
        <f>(N14-O14)*P14</f>
        <v>28.407854</v>
      </c>
      <c r="Q16" s="556" t="s">
        <v>163</v>
      </c>
      <c r="R16" s="526"/>
      <c r="S16" s="524"/>
      <c r="T16" s="527"/>
      <c r="U16" s="514"/>
      <c r="V16" s="530"/>
      <c r="W16" s="531"/>
      <c r="X16" s="492"/>
      <c r="Y16" s="492"/>
      <c r="Z16" s="492"/>
    </row>
    <row r="17" spans="1:26" ht="15.6" x14ac:dyDescent="0.3">
      <c r="A17" s="521"/>
      <c r="B17" s="514"/>
      <c r="C17" s="522"/>
      <c r="D17" s="514"/>
      <c r="E17" s="514"/>
      <c r="F17" s="523"/>
      <c r="G17" s="523"/>
      <c r="H17" s="513"/>
      <c r="I17" s="514"/>
      <c r="J17" s="514"/>
      <c r="K17" s="524"/>
      <c r="L17" s="524"/>
      <c r="M17" s="527"/>
      <c r="N17" s="514"/>
      <c r="O17" s="513"/>
      <c r="P17" s="524"/>
      <c r="Q17" s="556">
        <f>60*(N14-O14)/F13</f>
        <v>288.1269191402252</v>
      </c>
      <c r="R17" s="526"/>
      <c r="S17" s="524"/>
      <c r="T17" s="527"/>
      <c r="U17" s="514"/>
      <c r="V17" s="530"/>
      <c r="W17" s="531"/>
      <c r="X17" s="492"/>
      <c r="Y17" s="492"/>
      <c r="Z17" s="492"/>
    </row>
    <row r="18" spans="1:26" ht="15.6" x14ac:dyDescent="0.3">
      <c r="A18" s="532">
        <v>3</v>
      </c>
      <c r="B18" s="533" t="s">
        <v>2</v>
      </c>
      <c r="C18" s="534">
        <v>37370</v>
      </c>
      <c r="D18" s="533">
        <v>26</v>
      </c>
      <c r="E18" s="533">
        <v>225</v>
      </c>
      <c r="F18" s="535">
        <v>20.84</v>
      </c>
      <c r="G18" s="535" t="s">
        <v>64</v>
      </c>
      <c r="H18" s="536" t="s">
        <v>6</v>
      </c>
      <c r="I18" s="533" t="s">
        <v>5</v>
      </c>
      <c r="J18" s="533" t="s">
        <v>8</v>
      </c>
      <c r="K18" s="537">
        <v>17.062999999999999</v>
      </c>
      <c r="L18" s="537">
        <v>17.32</v>
      </c>
      <c r="M18" s="538">
        <f>L18-K18</f>
        <v>0.25700000000000145</v>
      </c>
      <c r="N18" s="539" t="s">
        <v>164</v>
      </c>
      <c r="O18" s="539" t="s">
        <v>165</v>
      </c>
      <c r="P18" s="540" t="s">
        <v>166</v>
      </c>
      <c r="Q18" s="541" t="s">
        <v>167</v>
      </c>
      <c r="R18" s="542">
        <f>60*SUM(M18:M21)/F18</f>
        <v>0.73992322456814241</v>
      </c>
      <c r="S18" s="537">
        <f>100*SUM(M18:M21)/P21</f>
        <v>1.2332554382965903</v>
      </c>
      <c r="T18" s="538">
        <f>1000*SUM(M18:M21)/P21</f>
        <v>12.332554382965904</v>
      </c>
      <c r="U18" s="533">
        <v>0.55000000000000004</v>
      </c>
      <c r="V18" s="536">
        <v>0.88</v>
      </c>
      <c r="W18" s="543" t="s">
        <v>42</v>
      </c>
      <c r="X18" s="492"/>
      <c r="Y18" s="492"/>
      <c r="Z18" s="492"/>
    </row>
    <row r="19" spans="1:26" ht="15.6" x14ac:dyDescent="0.3">
      <c r="A19" s="532"/>
      <c r="B19" s="533" t="s">
        <v>85</v>
      </c>
      <c r="C19" s="534"/>
      <c r="D19" s="533"/>
      <c r="E19" s="533"/>
      <c r="F19" s="535"/>
      <c r="G19" s="535" t="s">
        <v>65</v>
      </c>
      <c r="H19" s="536" t="s">
        <v>62</v>
      </c>
      <c r="I19" s="533" t="s">
        <v>114</v>
      </c>
      <c r="J19" s="533"/>
      <c r="K19" s="537"/>
      <c r="L19" s="537"/>
      <c r="M19" s="538">
        <f>L19-K19</f>
        <v>0</v>
      </c>
      <c r="N19" s="533">
        <v>170</v>
      </c>
      <c r="O19" s="536">
        <v>66.75</v>
      </c>
      <c r="P19" s="537">
        <v>0.20183200000000001</v>
      </c>
      <c r="Q19" s="541">
        <f>N19-O19</f>
        <v>103.25</v>
      </c>
      <c r="R19" s="542"/>
      <c r="S19" s="537"/>
      <c r="T19" s="538"/>
      <c r="U19" s="533"/>
      <c r="V19" s="544"/>
      <c r="W19" s="545"/>
      <c r="X19" s="492"/>
      <c r="Y19" s="492"/>
      <c r="Z19" s="492"/>
    </row>
    <row r="20" spans="1:26" ht="15.6" x14ac:dyDescent="0.3">
      <c r="A20" s="532"/>
      <c r="B20" s="533" t="s">
        <v>27</v>
      </c>
      <c r="C20" s="534"/>
      <c r="D20" s="533"/>
      <c r="E20" s="533"/>
      <c r="F20" s="535"/>
      <c r="G20" s="535"/>
      <c r="H20" s="536" t="s">
        <v>63</v>
      </c>
      <c r="I20" s="533"/>
      <c r="J20" s="533"/>
      <c r="K20" s="537"/>
      <c r="L20" s="537"/>
      <c r="M20" s="538">
        <f>L20-K20</f>
        <v>0</v>
      </c>
      <c r="N20" s="546"/>
      <c r="O20" s="546"/>
      <c r="P20" s="547"/>
      <c r="Q20" s="548"/>
      <c r="R20" s="542"/>
      <c r="S20" s="537"/>
      <c r="T20" s="538"/>
      <c r="U20" s="549" t="s">
        <v>172</v>
      </c>
      <c r="V20" s="550"/>
      <c r="W20" s="551"/>
      <c r="X20" s="492"/>
      <c r="Y20" s="492"/>
      <c r="Z20" s="492"/>
    </row>
    <row r="21" spans="1:26" ht="15.6" x14ac:dyDescent="0.3">
      <c r="A21" s="532"/>
      <c r="B21" s="533"/>
      <c r="C21" s="534"/>
      <c r="D21" s="533"/>
      <c r="E21" s="533"/>
      <c r="F21" s="535"/>
      <c r="G21" s="535"/>
      <c r="H21" s="536"/>
      <c r="I21" s="533"/>
      <c r="J21" s="533"/>
      <c r="K21" s="537"/>
      <c r="L21" s="537"/>
      <c r="M21" s="538">
        <f>L21-K21</f>
        <v>0</v>
      </c>
      <c r="N21" s="549" t="s">
        <v>18</v>
      </c>
      <c r="O21" s="550"/>
      <c r="P21" s="537">
        <f>(N19-O19)*P19</f>
        <v>20.839154000000001</v>
      </c>
      <c r="Q21" s="541" t="s">
        <v>163</v>
      </c>
      <c r="R21" s="542"/>
      <c r="S21" s="537"/>
      <c r="T21" s="538"/>
      <c r="U21" s="533"/>
      <c r="V21" s="544"/>
      <c r="W21" s="545"/>
      <c r="X21" s="492"/>
      <c r="Y21" s="492"/>
      <c r="Z21" s="492"/>
    </row>
    <row r="22" spans="1:26" ht="15.6" x14ac:dyDescent="0.3">
      <c r="A22" s="532"/>
      <c r="B22" s="533"/>
      <c r="C22" s="534"/>
      <c r="D22" s="533"/>
      <c r="E22" s="533"/>
      <c r="F22" s="535"/>
      <c r="G22" s="535"/>
      <c r="H22" s="536"/>
      <c r="I22" s="533"/>
      <c r="J22" s="533"/>
      <c r="K22" s="537"/>
      <c r="L22" s="537"/>
      <c r="M22" s="538"/>
      <c r="N22" s="533"/>
      <c r="O22" s="536"/>
      <c r="P22" s="537"/>
      <c r="Q22" s="541">
        <f>60*Q19/F18</f>
        <v>297.26487523992324</v>
      </c>
      <c r="R22" s="542"/>
      <c r="S22" s="537"/>
      <c r="T22" s="538"/>
      <c r="U22" s="533"/>
      <c r="V22" s="544"/>
      <c r="W22" s="545"/>
      <c r="X22" s="492"/>
      <c r="Y22" s="492"/>
      <c r="Z22" s="492"/>
    </row>
    <row r="23" spans="1:26" ht="15.6" x14ac:dyDescent="0.3">
      <c r="A23" s="521">
        <v>4</v>
      </c>
      <c r="B23" s="514" t="s">
        <v>2</v>
      </c>
      <c r="C23" s="522">
        <v>37370</v>
      </c>
      <c r="D23" s="514">
        <v>28</v>
      </c>
      <c r="E23" s="514">
        <v>225</v>
      </c>
      <c r="F23" s="523">
        <v>20.13</v>
      </c>
      <c r="G23" s="523" t="s">
        <v>64</v>
      </c>
      <c r="H23" s="513" t="s">
        <v>6</v>
      </c>
      <c r="I23" s="514" t="s">
        <v>5</v>
      </c>
      <c r="J23" s="514" t="s">
        <v>8</v>
      </c>
      <c r="K23" s="524">
        <v>17.751000000000001</v>
      </c>
      <c r="L23" s="524">
        <v>18.010000000000002</v>
      </c>
      <c r="M23" s="527">
        <f>L23-K23</f>
        <v>0.25900000000000034</v>
      </c>
      <c r="N23" s="490" t="s">
        <v>164</v>
      </c>
      <c r="O23" s="490" t="s">
        <v>165</v>
      </c>
      <c r="P23" s="496" t="s">
        <v>166</v>
      </c>
      <c r="Q23" s="497" t="s">
        <v>167</v>
      </c>
      <c r="R23" s="526">
        <f>60*SUM(M23:M26)/F23</f>
        <v>0.77198211624441238</v>
      </c>
      <c r="S23" s="524">
        <f>100*SUM(M23:M26)/P26</f>
        <v>1.2550077960696659</v>
      </c>
      <c r="T23" s="527">
        <f>1000*SUM(M23:M26)/P26</f>
        <v>12.55007796069666</v>
      </c>
      <c r="U23" s="514">
        <v>0.63</v>
      </c>
      <c r="V23" s="513">
        <v>0.99</v>
      </c>
      <c r="W23" s="528" t="s">
        <v>42</v>
      </c>
      <c r="X23" s="492"/>
      <c r="Y23" s="492"/>
      <c r="Z23" s="492"/>
    </row>
    <row r="24" spans="1:26" ht="15.6" x14ac:dyDescent="0.3">
      <c r="A24" s="521"/>
      <c r="B24" s="514" t="s">
        <v>85</v>
      </c>
      <c r="C24" s="522"/>
      <c r="D24" s="514"/>
      <c r="E24" s="514"/>
      <c r="F24" s="523"/>
      <c r="G24" s="523" t="s">
        <v>65</v>
      </c>
      <c r="H24" s="513" t="s">
        <v>62</v>
      </c>
      <c r="I24" s="514" t="s">
        <v>114</v>
      </c>
      <c r="J24" s="514"/>
      <c r="K24" s="524"/>
      <c r="L24" s="524"/>
      <c r="M24" s="527">
        <f>L24-K24</f>
        <v>0</v>
      </c>
      <c r="N24" s="514">
        <v>130</v>
      </c>
      <c r="O24" s="513">
        <v>27.75</v>
      </c>
      <c r="P24" s="524">
        <v>0.20183200000000001</v>
      </c>
      <c r="Q24" s="556">
        <f>N24-O24</f>
        <v>102.25</v>
      </c>
      <c r="R24" s="526"/>
      <c r="S24" s="524"/>
      <c r="T24" s="527"/>
      <c r="U24" s="514"/>
      <c r="V24" s="530"/>
      <c r="W24" s="531"/>
      <c r="X24" s="492"/>
      <c r="Y24" s="492"/>
      <c r="Z24" s="492"/>
    </row>
    <row r="25" spans="1:26" ht="15.6" x14ac:dyDescent="0.3">
      <c r="A25" s="521"/>
      <c r="B25" s="514" t="s">
        <v>27</v>
      </c>
      <c r="C25" s="522"/>
      <c r="D25" s="514"/>
      <c r="E25" s="514"/>
      <c r="F25" s="523"/>
      <c r="G25" s="523"/>
      <c r="H25" s="513" t="s">
        <v>63</v>
      </c>
      <c r="I25" s="514"/>
      <c r="J25" s="514"/>
      <c r="K25" s="524"/>
      <c r="L25" s="524"/>
      <c r="M25" s="527">
        <f>L25-K25</f>
        <v>0</v>
      </c>
      <c r="N25" s="492"/>
      <c r="O25" s="492"/>
      <c r="P25" s="493"/>
      <c r="Q25" s="556"/>
      <c r="R25" s="526"/>
      <c r="S25" s="524"/>
      <c r="T25" s="527"/>
      <c r="U25" s="559" t="s">
        <v>173</v>
      </c>
      <c r="V25" s="560"/>
      <c r="W25" s="561"/>
      <c r="X25" s="492"/>
      <c r="Y25" s="492"/>
      <c r="Z25" s="492"/>
    </row>
    <row r="26" spans="1:26" ht="15.6" x14ac:dyDescent="0.3">
      <c r="A26" s="521"/>
      <c r="B26" s="514"/>
      <c r="C26" s="522"/>
      <c r="D26" s="514"/>
      <c r="E26" s="514"/>
      <c r="F26" s="523"/>
      <c r="G26" s="523"/>
      <c r="H26" s="513"/>
      <c r="I26" s="514"/>
      <c r="J26" s="514"/>
      <c r="K26" s="524"/>
      <c r="L26" s="524"/>
      <c r="M26" s="527">
        <f>L26-K26</f>
        <v>0</v>
      </c>
      <c r="N26" s="559" t="s">
        <v>18</v>
      </c>
      <c r="O26" s="560"/>
      <c r="P26" s="524">
        <f>(N24-O24)*P24</f>
        <v>20.637322000000001</v>
      </c>
      <c r="Q26" s="556" t="s">
        <v>163</v>
      </c>
      <c r="R26" s="526"/>
      <c r="S26" s="524"/>
      <c r="T26" s="527"/>
      <c r="U26" s="514"/>
      <c r="V26" s="530"/>
      <c r="W26" s="531"/>
      <c r="X26" s="492"/>
      <c r="Y26" s="492"/>
      <c r="Z26" s="492"/>
    </row>
    <row r="27" spans="1:26" ht="15.6" x14ac:dyDescent="0.3">
      <c r="A27" s="521"/>
      <c r="B27" s="514"/>
      <c r="C27" s="522"/>
      <c r="D27" s="514"/>
      <c r="E27" s="514"/>
      <c r="F27" s="523"/>
      <c r="G27" s="523"/>
      <c r="H27" s="513"/>
      <c r="I27" s="514"/>
      <c r="J27" s="514"/>
      <c r="K27" s="524"/>
      <c r="L27" s="524"/>
      <c r="M27" s="527"/>
      <c r="N27" s="514"/>
      <c r="O27" s="513"/>
      <c r="P27" s="524"/>
      <c r="Q27" s="556">
        <f>60*(N24-O24)/F23</f>
        <v>304.76900149031297</v>
      </c>
      <c r="R27" s="526"/>
      <c r="S27" s="524"/>
      <c r="T27" s="527"/>
      <c r="U27" s="514"/>
      <c r="V27" s="530"/>
      <c r="W27" s="531"/>
      <c r="X27" s="492"/>
      <c r="Y27" s="492"/>
      <c r="Z27" s="492"/>
    </row>
    <row r="28" spans="1:26" ht="15.6" x14ac:dyDescent="0.3">
      <c r="A28" s="532" t="s">
        <v>32</v>
      </c>
      <c r="B28" s="533" t="s">
        <v>2</v>
      </c>
      <c r="C28" s="534">
        <v>37424</v>
      </c>
      <c r="D28" s="533">
        <v>24</v>
      </c>
      <c r="E28" s="533">
        <v>225</v>
      </c>
      <c r="F28" s="535">
        <v>29.62</v>
      </c>
      <c r="G28" s="535" t="s">
        <v>64</v>
      </c>
      <c r="H28" s="536" t="s">
        <v>6</v>
      </c>
      <c r="I28" s="533" t="s">
        <v>5</v>
      </c>
      <c r="J28" s="533" t="s">
        <v>19</v>
      </c>
      <c r="K28" s="537">
        <v>34.74</v>
      </c>
      <c r="L28" s="537">
        <v>34.96</v>
      </c>
      <c r="M28" s="538">
        <f>L28-K28</f>
        <v>0.21999999999999886</v>
      </c>
      <c r="N28" s="539" t="s">
        <v>164</v>
      </c>
      <c r="O28" s="539" t="s">
        <v>165</v>
      </c>
      <c r="P28" s="540" t="s">
        <v>166</v>
      </c>
      <c r="Q28" s="541" t="s">
        <v>167</v>
      </c>
      <c r="R28" s="542">
        <f>60*SUM(M28:M31)/F28</f>
        <v>0.45172180958811403</v>
      </c>
      <c r="S28" s="537">
        <f>100*SUM(M28:M31)/P31</f>
        <v>0.74028764191695517</v>
      </c>
      <c r="T28" s="538">
        <f>1000*SUM(M28:M31)/P31</f>
        <v>7.4028764191695515</v>
      </c>
      <c r="U28" s="533">
        <v>0.43</v>
      </c>
      <c r="V28" s="536">
        <v>0.67</v>
      </c>
      <c r="W28" s="543" t="s">
        <v>42</v>
      </c>
      <c r="X28" s="492"/>
      <c r="Y28" s="492"/>
      <c r="Z28" s="492"/>
    </row>
    <row r="29" spans="1:26" ht="15.6" x14ac:dyDescent="0.3">
      <c r="A29" s="532"/>
      <c r="B29" s="533" t="s">
        <v>85</v>
      </c>
      <c r="C29" s="534"/>
      <c r="D29" s="533"/>
      <c r="E29" s="533"/>
      <c r="F29" s="535"/>
      <c r="G29" s="535" t="s">
        <v>65</v>
      </c>
      <c r="H29" s="536" t="s">
        <v>62</v>
      </c>
      <c r="I29" s="533" t="s">
        <v>114</v>
      </c>
      <c r="J29" s="533" t="s">
        <v>8</v>
      </c>
      <c r="K29" s="537">
        <v>17.556999999999999</v>
      </c>
      <c r="L29" s="537">
        <v>17.559999999999999</v>
      </c>
      <c r="M29" s="538">
        <f>L29-K29</f>
        <v>3.0000000000001137E-3</v>
      </c>
      <c r="N29" s="533">
        <v>150</v>
      </c>
      <c r="O29" s="536">
        <v>0.75</v>
      </c>
      <c r="P29" s="537">
        <v>0.20183200000000001</v>
      </c>
      <c r="Q29" s="541">
        <f>N29-O29</f>
        <v>149.25</v>
      </c>
      <c r="R29" s="542"/>
      <c r="S29" s="537"/>
      <c r="T29" s="538"/>
      <c r="U29" s="533"/>
      <c r="V29" s="544"/>
      <c r="W29" s="545"/>
      <c r="X29" s="492"/>
      <c r="Y29" s="492"/>
      <c r="Z29" s="492"/>
    </row>
    <row r="30" spans="1:26" ht="15.6" x14ac:dyDescent="0.3">
      <c r="A30" s="532"/>
      <c r="B30" s="533"/>
      <c r="C30" s="534"/>
      <c r="D30" s="533"/>
      <c r="E30" s="533"/>
      <c r="F30" s="535"/>
      <c r="G30" s="535"/>
      <c r="H30" s="536" t="s">
        <v>63</v>
      </c>
      <c r="I30" s="533"/>
      <c r="J30" s="533"/>
      <c r="K30" s="537"/>
      <c r="L30" s="537"/>
      <c r="M30" s="538">
        <f>L30-K30</f>
        <v>0</v>
      </c>
      <c r="N30" s="546"/>
      <c r="O30" s="546"/>
      <c r="P30" s="547"/>
      <c r="Q30" s="548"/>
      <c r="R30" s="542"/>
      <c r="S30" s="537"/>
      <c r="T30" s="538"/>
      <c r="U30" s="549" t="s">
        <v>172</v>
      </c>
      <c r="V30" s="550"/>
      <c r="W30" s="551"/>
      <c r="X30" s="492"/>
      <c r="Y30" s="492"/>
      <c r="Z30" s="492"/>
    </row>
    <row r="31" spans="1:26" ht="15.6" x14ac:dyDescent="0.3">
      <c r="A31" s="532"/>
      <c r="B31" s="533"/>
      <c r="C31" s="534"/>
      <c r="D31" s="533"/>
      <c r="E31" s="533"/>
      <c r="F31" s="535"/>
      <c r="G31" s="535"/>
      <c r="H31" s="536"/>
      <c r="I31" s="533"/>
      <c r="J31" s="533"/>
      <c r="K31" s="537"/>
      <c r="L31" s="537"/>
      <c r="M31" s="538">
        <f>L31-K31</f>
        <v>0</v>
      </c>
      <c r="N31" s="549" t="s">
        <v>18</v>
      </c>
      <c r="O31" s="550"/>
      <c r="P31" s="537">
        <f>(N29-O29)*P29</f>
        <v>30.123426000000002</v>
      </c>
      <c r="Q31" s="541" t="s">
        <v>163</v>
      </c>
      <c r="R31" s="542"/>
      <c r="S31" s="537"/>
      <c r="T31" s="538"/>
      <c r="U31" s="533"/>
      <c r="V31" s="544"/>
      <c r="W31" s="545"/>
      <c r="X31" s="492"/>
      <c r="Y31" s="492"/>
      <c r="Z31" s="492"/>
    </row>
    <row r="32" spans="1:26" ht="15.6" x14ac:dyDescent="0.3">
      <c r="A32" s="532"/>
      <c r="B32" s="533"/>
      <c r="C32" s="534"/>
      <c r="D32" s="533"/>
      <c r="E32" s="533"/>
      <c r="F32" s="535"/>
      <c r="G32" s="535"/>
      <c r="H32" s="536"/>
      <c r="I32" s="533"/>
      <c r="J32" s="533"/>
      <c r="K32" s="537"/>
      <c r="L32" s="537"/>
      <c r="M32" s="538"/>
      <c r="N32" s="533"/>
      <c r="O32" s="536"/>
      <c r="P32" s="537"/>
      <c r="Q32" s="541">
        <f>60*Q29/F28</f>
        <v>302.32950708980417</v>
      </c>
      <c r="R32" s="542"/>
      <c r="S32" s="537"/>
      <c r="T32" s="538"/>
      <c r="U32" s="533"/>
      <c r="V32" s="544"/>
      <c r="W32" s="545"/>
      <c r="X32" s="492"/>
      <c r="Y32" s="492"/>
      <c r="Z32" s="492"/>
    </row>
    <row r="33" spans="1:26" ht="15.6" x14ac:dyDescent="0.3">
      <c r="A33" s="521">
        <v>6</v>
      </c>
      <c r="B33" s="514" t="s">
        <v>2</v>
      </c>
      <c r="C33" s="522">
        <v>37424</v>
      </c>
      <c r="D33" s="514">
        <v>26</v>
      </c>
      <c r="E33" s="514">
        <v>225</v>
      </c>
      <c r="F33" s="523">
        <v>28.41</v>
      </c>
      <c r="G33" s="523" t="s">
        <v>64</v>
      </c>
      <c r="H33" s="513" t="s">
        <v>6</v>
      </c>
      <c r="I33" s="514" t="s">
        <v>5</v>
      </c>
      <c r="J33" s="514" t="s">
        <v>19</v>
      </c>
      <c r="K33" s="524">
        <v>33.549999999999997</v>
      </c>
      <c r="L33" s="524">
        <v>33.94</v>
      </c>
      <c r="M33" s="527">
        <f>L33-K33</f>
        <v>0.39000000000000057</v>
      </c>
      <c r="N33" s="490" t="s">
        <v>164</v>
      </c>
      <c r="O33" s="490" t="s">
        <v>165</v>
      </c>
      <c r="P33" s="496" t="s">
        <v>166</v>
      </c>
      <c r="Q33" s="497" t="s">
        <v>167</v>
      </c>
      <c r="R33" s="526">
        <f>60*SUM(M33:M36)/F33</f>
        <v>1.0137275607180578</v>
      </c>
      <c r="S33" s="524">
        <f>100*SUM(M33:M36)/P36</f>
        <v>1.7881319891746503</v>
      </c>
      <c r="T33" s="527">
        <f>1000*SUM(M33:M36)/P36</f>
        <v>17.881319891746504</v>
      </c>
      <c r="U33" s="514">
        <v>0.55000000000000004</v>
      </c>
      <c r="V33" s="513">
        <v>0.88</v>
      </c>
      <c r="W33" s="528" t="s">
        <v>42</v>
      </c>
      <c r="X33" s="492"/>
      <c r="Y33" s="492"/>
      <c r="Z33" s="492"/>
    </row>
    <row r="34" spans="1:26" ht="15.6" x14ac:dyDescent="0.3">
      <c r="A34" s="521"/>
      <c r="B34" s="514" t="s">
        <v>85</v>
      </c>
      <c r="C34" s="522"/>
      <c r="D34" s="514"/>
      <c r="E34" s="514"/>
      <c r="F34" s="523"/>
      <c r="G34" s="523" t="s">
        <v>65</v>
      </c>
      <c r="H34" s="513" t="s">
        <v>62</v>
      </c>
      <c r="I34" s="514" t="s">
        <v>114</v>
      </c>
      <c r="J34" s="514" t="s">
        <v>8</v>
      </c>
      <c r="K34" s="524">
        <v>16.55</v>
      </c>
      <c r="L34" s="524">
        <v>16.64</v>
      </c>
      <c r="M34" s="527">
        <f>L34-K34</f>
        <v>8.9999999999999858E-2</v>
      </c>
      <c r="N34" s="514">
        <v>160</v>
      </c>
      <c r="O34" s="513">
        <v>27</v>
      </c>
      <c r="P34" s="524">
        <v>0.20183200000000001</v>
      </c>
      <c r="Q34" s="556">
        <f>N34-O34</f>
        <v>133</v>
      </c>
      <c r="R34" s="526"/>
      <c r="S34" s="524"/>
      <c r="T34" s="527"/>
      <c r="U34" s="514"/>
      <c r="V34" s="530"/>
      <c r="W34" s="531"/>
      <c r="X34" s="492"/>
      <c r="Y34" s="492"/>
      <c r="Z34" s="492"/>
    </row>
    <row r="35" spans="1:26" ht="15.6" x14ac:dyDescent="0.3">
      <c r="A35" s="521"/>
      <c r="B35" s="514" t="s">
        <v>28</v>
      </c>
      <c r="C35" s="522"/>
      <c r="D35" s="514"/>
      <c r="E35" s="514"/>
      <c r="F35" s="523"/>
      <c r="G35" s="523"/>
      <c r="H35" s="513" t="s">
        <v>63</v>
      </c>
      <c r="I35" s="514"/>
      <c r="J35" s="514"/>
      <c r="K35" s="524"/>
      <c r="L35" s="524"/>
      <c r="M35" s="527">
        <f>L35-K35</f>
        <v>0</v>
      </c>
      <c r="N35" s="492"/>
      <c r="O35" s="492"/>
      <c r="P35" s="493"/>
      <c r="Q35" s="556"/>
      <c r="R35" s="526"/>
      <c r="S35" s="524"/>
      <c r="T35" s="527"/>
      <c r="U35" s="559" t="s">
        <v>173</v>
      </c>
      <c r="V35" s="560"/>
      <c r="W35" s="561"/>
      <c r="X35" s="492"/>
      <c r="Y35" s="492"/>
      <c r="Z35" s="492"/>
    </row>
    <row r="36" spans="1:26" ht="15.6" x14ac:dyDescent="0.3">
      <c r="A36" s="521"/>
      <c r="B36" s="514"/>
      <c r="C36" s="522"/>
      <c r="D36" s="514"/>
      <c r="E36" s="514"/>
      <c r="F36" s="523"/>
      <c r="G36" s="523"/>
      <c r="H36" s="513"/>
      <c r="I36" s="514"/>
      <c r="J36" s="514"/>
      <c r="K36" s="524"/>
      <c r="L36" s="524"/>
      <c r="M36" s="527">
        <f>L36-K36</f>
        <v>0</v>
      </c>
      <c r="N36" s="559" t="s">
        <v>18</v>
      </c>
      <c r="O36" s="560"/>
      <c r="P36" s="524">
        <f>(N34-O34)*P34</f>
        <v>26.843656000000003</v>
      </c>
      <c r="Q36" s="556" t="s">
        <v>163</v>
      </c>
      <c r="R36" s="526"/>
      <c r="S36" s="524"/>
      <c r="T36" s="527"/>
      <c r="U36" s="514"/>
      <c r="V36" s="530"/>
      <c r="W36" s="531"/>
      <c r="X36" s="492"/>
      <c r="Y36" s="492"/>
      <c r="Z36" s="492"/>
    </row>
    <row r="37" spans="1:26" ht="15.6" x14ac:dyDescent="0.3">
      <c r="A37" s="521"/>
      <c r="B37" s="514"/>
      <c r="C37" s="522"/>
      <c r="D37" s="514"/>
      <c r="E37" s="514"/>
      <c r="F37" s="523"/>
      <c r="G37" s="523"/>
      <c r="H37" s="513"/>
      <c r="I37" s="514"/>
      <c r="J37" s="514"/>
      <c r="K37" s="524"/>
      <c r="L37" s="524"/>
      <c r="M37" s="527"/>
      <c r="N37" s="514"/>
      <c r="O37" s="513"/>
      <c r="P37" s="524"/>
      <c r="Q37" s="556">
        <f>60*(N34-O34)/F33</f>
        <v>280.8870116156283</v>
      </c>
      <c r="R37" s="526"/>
      <c r="S37" s="524"/>
      <c r="T37" s="527"/>
      <c r="U37" s="514"/>
      <c r="V37" s="530"/>
      <c r="W37" s="531"/>
      <c r="X37" s="492"/>
      <c r="Y37" s="492"/>
      <c r="Z37" s="492"/>
    </row>
    <row r="38" spans="1:26" ht="15.6" x14ac:dyDescent="0.3">
      <c r="A38" s="532">
        <v>7</v>
      </c>
      <c r="B38" s="533" t="s">
        <v>2</v>
      </c>
      <c r="C38" s="534">
        <v>37424</v>
      </c>
      <c r="D38" s="533">
        <v>26</v>
      </c>
      <c r="E38" s="533">
        <v>225</v>
      </c>
      <c r="F38" s="535">
        <v>28.34</v>
      </c>
      <c r="G38" s="535" t="s">
        <v>64</v>
      </c>
      <c r="H38" s="536" t="s">
        <v>6</v>
      </c>
      <c r="I38" s="533" t="s">
        <v>5</v>
      </c>
      <c r="J38" s="533" t="s">
        <v>19</v>
      </c>
      <c r="K38" s="537">
        <v>34.15</v>
      </c>
      <c r="L38" s="537">
        <v>34.58</v>
      </c>
      <c r="M38" s="538">
        <f t="shared" ref="M38:M46" si="0">L38-K38</f>
        <v>0.42999999999999972</v>
      </c>
      <c r="N38" s="539" t="s">
        <v>164</v>
      </c>
      <c r="O38" s="539" t="s">
        <v>165</v>
      </c>
      <c r="P38" s="540" t="s">
        <v>166</v>
      </c>
      <c r="Q38" s="541" t="s">
        <v>167</v>
      </c>
      <c r="R38" s="542">
        <f>60*SUM(M38:M41)/F38</f>
        <v>0.97177134791813613</v>
      </c>
      <c r="S38" s="537">
        <f>100*SUM(M38:M41)/P41</f>
        <v>1.6071863006941212</v>
      </c>
      <c r="T38" s="538">
        <f>1000*SUM(M38:M41)/P41</f>
        <v>16.071863006941211</v>
      </c>
      <c r="U38" s="533">
        <v>0.55000000000000004</v>
      </c>
      <c r="V38" s="536">
        <v>0.88</v>
      </c>
      <c r="W38" s="543" t="s">
        <v>42</v>
      </c>
      <c r="X38" s="492"/>
      <c r="Y38" s="492"/>
      <c r="Z38" s="492"/>
    </row>
    <row r="39" spans="1:26" ht="15.6" x14ac:dyDescent="0.3">
      <c r="A39" s="532"/>
      <c r="B39" s="533" t="s">
        <v>85</v>
      </c>
      <c r="C39" s="534"/>
      <c r="D39" s="533"/>
      <c r="E39" s="533"/>
      <c r="F39" s="535"/>
      <c r="G39" s="535" t="s">
        <v>65</v>
      </c>
      <c r="H39" s="536" t="s">
        <v>62</v>
      </c>
      <c r="I39" s="533" t="s">
        <v>114</v>
      </c>
      <c r="J39" s="533" t="s">
        <v>8</v>
      </c>
      <c r="K39" s="537">
        <v>16.021000000000001</v>
      </c>
      <c r="L39" s="537">
        <v>16.05</v>
      </c>
      <c r="M39" s="538">
        <f t="shared" si="0"/>
        <v>2.8999999999999915E-2</v>
      </c>
      <c r="N39" s="533">
        <v>159.5</v>
      </c>
      <c r="O39" s="536">
        <v>18</v>
      </c>
      <c r="P39" s="537">
        <v>0.20183200000000001</v>
      </c>
      <c r="Q39" s="541">
        <f>N39-O39</f>
        <v>141.5</v>
      </c>
      <c r="R39" s="542"/>
      <c r="S39" s="537"/>
      <c r="T39" s="538"/>
      <c r="U39" s="533"/>
      <c r="V39" s="544"/>
      <c r="W39" s="545"/>
      <c r="X39" s="492"/>
      <c r="Y39" s="492"/>
      <c r="Z39" s="492"/>
    </row>
    <row r="40" spans="1:26" ht="15.6" x14ac:dyDescent="0.3">
      <c r="A40" s="532"/>
      <c r="B40" s="533" t="s">
        <v>29</v>
      </c>
      <c r="C40" s="534"/>
      <c r="D40" s="533"/>
      <c r="E40" s="533"/>
      <c r="F40" s="535"/>
      <c r="G40" s="535"/>
      <c r="H40" s="536" t="s">
        <v>63</v>
      </c>
      <c r="I40" s="533"/>
      <c r="J40" s="533"/>
      <c r="K40" s="537"/>
      <c r="L40" s="537"/>
      <c r="M40" s="538">
        <f t="shared" si="0"/>
        <v>0</v>
      </c>
      <c r="N40" s="546"/>
      <c r="O40" s="546"/>
      <c r="P40" s="547"/>
      <c r="Q40" s="548"/>
      <c r="R40" s="542"/>
      <c r="S40" s="537"/>
      <c r="T40" s="538"/>
      <c r="U40" s="549" t="s">
        <v>172</v>
      </c>
      <c r="V40" s="550"/>
      <c r="W40" s="551"/>
      <c r="X40" s="492"/>
      <c r="Y40" s="492"/>
      <c r="Z40" s="492"/>
    </row>
    <row r="41" spans="1:26" ht="15.6" x14ac:dyDescent="0.3">
      <c r="A41" s="532"/>
      <c r="B41" s="533"/>
      <c r="C41" s="534"/>
      <c r="D41" s="533"/>
      <c r="E41" s="533"/>
      <c r="F41" s="535"/>
      <c r="G41" s="535"/>
      <c r="H41" s="536"/>
      <c r="I41" s="533"/>
      <c r="J41" s="533"/>
      <c r="K41" s="537"/>
      <c r="L41" s="537"/>
      <c r="M41" s="538">
        <f t="shared" si="0"/>
        <v>0</v>
      </c>
      <c r="N41" s="549" t="s">
        <v>18</v>
      </c>
      <c r="O41" s="550"/>
      <c r="P41" s="537">
        <f>(N39-O39)*P39</f>
        <v>28.559228000000001</v>
      </c>
      <c r="Q41" s="541" t="s">
        <v>163</v>
      </c>
      <c r="R41" s="542"/>
      <c r="S41" s="537"/>
      <c r="T41" s="538"/>
      <c r="U41" s="562"/>
      <c r="V41" s="544"/>
      <c r="W41" s="545"/>
      <c r="X41" s="492"/>
      <c r="Y41" s="492"/>
      <c r="Z41" s="492"/>
    </row>
    <row r="42" spans="1:26" ht="15.6" x14ac:dyDescent="0.3">
      <c r="A42" s="532"/>
      <c r="B42" s="533"/>
      <c r="C42" s="534"/>
      <c r="D42" s="533"/>
      <c r="E42" s="533"/>
      <c r="F42" s="535"/>
      <c r="G42" s="535"/>
      <c r="H42" s="536"/>
      <c r="I42" s="533"/>
      <c r="J42" s="533"/>
      <c r="K42" s="537"/>
      <c r="L42" s="537"/>
      <c r="M42" s="538">
        <f t="shared" si="0"/>
        <v>0</v>
      </c>
      <c r="N42" s="533"/>
      <c r="O42" s="536"/>
      <c r="P42" s="537"/>
      <c r="Q42" s="541">
        <f>60*Q39/F38</f>
        <v>299.57657021877208</v>
      </c>
      <c r="R42" s="542"/>
      <c r="S42" s="537"/>
      <c r="T42" s="538"/>
      <c r="U42" s="562"/>
      <c r="V42" s="544"/>
      <c r="W42" s="545"/>
      <c r="X42" s="492"/>
      <c r="Y42" s="492"/>
      <c r="Z42" s="492"/>
    </row>
    <row r="43" spans="1:26" ht="15.6" x14ac:dyDescent="0.3">
      <c r="A43" s="521" t="s">
        <v>33</v>
      </c>
      <c r="B43" s="514" t="s">
        <v>2</v>
      </c>
      <c r="C43" s="522">
        <v>37424</v>
      </c>
      <c r="D43" s="514">
        <v>26</v>
      </c>
      <c r="E43" s="514">
        <v>225</v>
      </c>
      <c r="F43" s="523">
        <v>28.5</v>
      </c>
      <c r="G43" s="523" t="s">
        <v>64</v>
      </c>
      <c r="H43" s="513" t="s">
        <v>6</v>
      </c>
      <c r="I43" s="514" t="s">
        <v>5</v>
      </c>
      <c r="J43" s="514" t="s">
        <v>19</v>
      </c>
      <c r="K43" s="524">
        <v>34.619999999999997</v>
      </c>
      <c r="L43" s="524">
        <v>34.82</v>
      </c>
      <c r="M43" s="527">
        <f t="shared" si="0"/>
        <v>0.20000000000000284</v>
      </c>
      <c r="N43" s="490" t="s">
        <v>164</v>
      </c>
      <c r="O43" s="490" t="s">
        <v>165</v>
      </c>
      <c r="P43" s="496" t="s">
        <v>166</v>
      </c>
      <c r="Q43" s="497" t="s">
        <v>167</v>
      </c>
      <c r="R43" s="526">
        <f>60*SUM(M43:M46)/F43</f>
        <v>0.58947368421053248</v>
      </c>
      <c r="S43" s="524">
        <f>100*SUM(M43:M46)/P46</f>
        <v>0.97696648000094799</v>
      </c>
      <c r="T43" s="527">
        <f>1000*SUM(M43:M46)/P46</f>
        <v>9.7696648000094797</v>
      </c>
      <c r="U43" s="514">
        <v>0.55000000000000004</v>
      </c>
      <c r="V43" s="513">
        <v>0.88</v>
      </c>
      <c r="W43" s="528" t="s">
        <v>42</v>
      </c>
      <c r="X43" s="492"/>
      <c r="Y43" s="492"/>
      <c r="Z43" s="492"/>
    </row>
    <row r="44" spans="1:26" ht="15.6" x14ac:dyDescent="0.3">
      <c r="A44" s="521"/>
      <c r="B44" s="514" t="s">
        <v>85</v>
      </c>
      <c r="C44" s="522"/>
      <c r="D44" s="514"/>
      <c r="E44" s="514"/>
      <c r="F44" s="523"/>
      <c r="G44" s="523" t="s">
        <v>65</v>
      </c>
      <c r="H44" s="513" t="s">
        <v>62</v>
      </c>
      <c r="I44" s="514" t="s">
        <v>114</v>
      </c>
      <c r="J44" s="514" t="s">
        <v>8</v>
      </c>
      <c r="K44" s="524">
        <v>12.56</v>
      </c>
      <c r="L44" s="524">
        <v>12.64</v>
      </c>
      <c r="M44" s="527">
        <f t="shared" si="0"/>
        <v>8.0000000000000071E-2</v>
      </c>
      <c r="N44" s="514">
        <v>159.5</v>
      </c>
      <c r="O44" s="513">
        <v>17.5</v>
      </c>
      <c r="P44" s="524">
        <v>0.20183200000000001</v>
      </c>
      <c r="Q44" s="556">
        <f>N44-O44</f>
        <v>142</v>
      </c>
      <c r="R44" s="526"/>
      <c r="S44" s="524"/>
      <c r="T44" s="527"/>
      <c r="U44" s="563"/>
      <c r="V44" s="530"/>
      <c r="W44" s="531"/>
      <c r="X44" s="492"/>
      <c r="Y44" s="492"/>
      <c r="Z44" s="492"/>
    </row>
    <row r="45" spans="1:26" ht="15.6" x14ac:dyDescent="0.3">
      <c r="A45" s="521"/>
      <c r="B45" s="514"/>
      <c r="C45" s="522"/>
      <c r="D45" s="514"/>
      <c r="E45" s="514"/>
      <c r="F45" s="523"/>
      <c r="G45" s="523"/>
      <c r="H45" s="513" t="s">
        <v>63</v>
      </c>
      <c r="I45" s="514"/>
      <c r="J45" s="514"/>
      <c r="K45" s="524"/>
      <c r="L45" s="524"/>
      <c r="M45" s="527">
        <f t="shared" si="0"/>
        <v>0</v>
      </c>
      <c r="N45" s="492"/>
      <c r="O45" s="492"/>
      <c r="P45" s="493"/>
      <c r="Q45" s="556"/>
      <c r="R45" s="526"/>
      <c r="S45" s="524"/>
      <c r="T45" s="527"/>
      <c r="U45" s="559" t="s">
        <v>173</v>
      </c>
      <c r="V45" s="560"/>
      <c r="W45" s="561"/>
      <c r="X45" s="492"/>
      <c r="Y45" s="492"/>
      <c r="Z45" s="492"/>
    </row>
    <row r="46" spans="1:26" ht="15.6" x14ac:dyDescent="0.3">
      <c r="A46" s="521"/>
      <c r="B46" s="514"/>
      <c r="C46" s="522"/>
      <c r="D46" s="514"/>
      <c r="E46" s="514"/>
      <c r="F46" s="523"/>
      <c r="G46" s="523"/>
      <c r="H46" s="513"/>
      <c r="I46" s="514"/>
      <c r="J46" s="514"/>
      <c r="K46" s="524"/>
      <c r="L46" s="524"/>
      <c r="M46" s="527">
        <f t="shared" si="0"/>
        <v>0</v>
      </c>
      <c r="N46" s="559" t="s">
        <v>18</v>
      </c>
      <c r="O46" s="560"/>
      <c r="P46" s="524">
        <f>(N44-O44)*P44</f>
        <v>28.660144000000003</v>
      </c>
      <c r="Q46" s="556" t="s">
        <v>163</v>
      </c>
      <c r="R46" s="526"/>
      <c r="S46" s="524"/>
      <c r="T46" s="527"/>
      <c r="U46" s="563"/>
      <c r="V46" s="530"/>
      <c r="W46" s="531"/>
      <c r="X46" s="492"/>
      <c r="Y46" s="492"/>
      <c r="Z46" s="492"/>
    </row>
    <row r="47" spans="1:26" ht="15.6" x14ac:dyDescent="0.3">
      <c r="A47" s="521"/>
      <c r="B47" s="514"/>
      <c r="C47" s="522"/>
      <c r="D47" s="514"/>
      <c r="E47" s="514"/>
      <c r="F47" s="523"/>
      <c r="G47" s="523"/>
      <c r="H47" s="513"/>
      <c r="I47" s="514"/>
      <c r="J47" s="514"/>
      <c r="K47" s="524"/>
      <c r="L47" s="524"/>
      <c r="M47" s="527"/>
      <c r="N47" s="514"/>
      <c r="O47" s="513"/>
      <c r="P47" s="524"/>
      <c r="Q47" s="556">
        <f>60*(N44-O44)/F43</f>
        <v>298.94736842105266</v>
      </c>
      <c r="R47" s="526"/>
      <c r="S47" s="524"/>
      <c r="T47" s="527"/>
      <c r="U47" s="563"/>
      <c r="V47" s="530"/>
      <c r="W47" s="531"/>
      <c r="X47" s="492"/>
      <c r="Y47" s="492"/>
      <c r="Z47" s="492"/>
    </row>
    <row r="48" spans="1:26" ht="15.6" x14ac:dyDescent="0.3">
      <c r="A48" s="532" t="s">
        <v>34</v>
      </c>
      <c r="B48" s="533" t="s">
        <v>2</v>
      </c>
      <c r="C48" s="534">
        <v>37424</v>
      </c>
      <c r="D48" s="533">
        <v>28</v>
      </c>
      <c r="E48" s="533">
        <v>225</v>
      </c>
      <c r="F48" s="535">
        <v>25.44</v>
      </c>
      <c r="G48" s="535" t="s">
        <v>64</v>
      </c>
      <c r="H48" s="536" t="s">
        <v>6</v>
      </c>
      <c r="I48" s="533" t="s">
        <v>5</v>
      </c>
      <c r="J48" s="533" t="s">
        <v>19</v>
      </c>
      <c r="K48" s="537">
        <v>29.38</v>
      </c>
      <c r="L48" s="537">
        <v>29.61</v>
      </c>
      <c r="M48" s="538">
        <f>L48-K48</f>
        <v>0.23000000000000043</v>
      </c>
      <c r="N48" s="539" t="s">
        <v>164</v>
      </c>
      <c r="O48" s="539" t="s">
        <v>165</v>
      </c>
      <c r="P48" s="540" t="s">
        <v>166</v>
      </c>
      <c r="Q48" s="541" t="s">
        <v>167</v>
      </c>
      <c r="R48" s="542">
        <f>60*SUM(M48:M51)/F48</f>
        <v>0.6839622641509413</v>
      </c>
      <c r="S48" s="537">
        <f>100*SUM(M48:M51)/P51</f>
        <v>1.1225301240635743</v>
      </c>
      <c r="T48" s="538">
        <f>1000*SUM(M48:M51)/P51</f>
        <v>11.225301240635742</v>
      </c>
      <c r="U48" s="533">
        <v>0.63</v>
      </c>
      <c r="V48" s="536">
        <v>0.99</v>
      </c>
      <c r="W48" s="543" t="s">
        <v>42</v>
      </c>
      <c r="X48" s="492"/>
      <c r="Y48" s="492"/>
      <c r="Z48" s="492"/>
    </row>
    <row r="49" spans="1:26" ht="15.6" x14ac:dyDescent="0.3">
      <c r="A49" s="532"/>
      <c r="B49" s="533" t="s">
        <v>85</v>
      </c>
      <c r="C49" s="534"/>
      <c r="D49" s="533"/>
      <c r="E49" s="533"/>
      <c r="F49" s="535"/>
      <c r="G49" s="535" t="s">
        <v>65</v>
      </c>
      <c r="H49" s="536" t="s">
        <v>62</v>
      </c>
      <c r="I49" s="533" t="s">
        <v>114</v>
      </c>
      <c r="J49" s="533" t="s">
        <v>8</v>
      </c>
      <c r="K49" s="537">
        <v>11.98</v>
      </c>
      <c r="L49" s="537">
        <v>12.04</v>
      </c>
      <c r="M49" s="538">
        <f>L49-K49</f>
        <v>5.9999999999998721E-2</v>
      </c>
      <c r="N49" s="533">
        <v>160</v>
      </c>
      <c r="O49" s="536">
        <v>32</v>
      </c>
      <c r="P49" s="537">
        <v>0.20183200000000001</v>
      </c>
      <c r="Q49" s="541">
        <f>N49-O49</f>
        <v>128</v>
      </c>
      <c r="R49" s="542"/>
      <c r="S49" s="537"/>
      <c r="T49" s="538"/>
      <c r="U49" s="562"/>
      <c r="V49" s="544"/>
      <c r="W49" s="545"/>
      <c r="X49" s="492"/>
      <c r="Y49" s="492"/>
      <c r="Z49" s="492"/>
    </row>
    <row r="50" spans="1:26" ht="15.6" x14ac:dyDescent="0.3">
      <c r="A50" s="532"/>
      <c r="B50" s="533"/>
      <c r="C50" s="534"/>
      <c r="D50" s="533"/>
      <c r="E50" s="533"/>
      <c r="F50" s="535"/>
      <c r="G50" s="535"/>
      <c r="H50" s="536" t="s">
        <v>63</v>
      </c>
      <c r="I50" s="533"/>
      <c r="J50" s="533"/>
      <c r="K50" s="537"/>
      <c r="L50" s="537"/>
      <c r="M50" s="538">
        <f>L50-K50</f>
        <v>0</v>
      </c>
      <c r="N50" s="546"/>
      <c r="O50" s="546"/>
      <c r="P50" s="547"/>
      <c r="Q50" s="548"/>
      <c r="R50" s="542"/>
      <c r="S50" s="537"/>
      <c r="T50" s="538"/>
      <c r="U50" s="549" t="s">
        <v>172</v>
      </c>
      <c r="V50" s="550"/>
      <c r="W50" s="551"/>
      <c r="X50" s="492"/>
      <c r="Y50" s="492"/>
      <c r="Z50" s="492"/>
    </row>
    <row r="51" spans="1:26" ht="15.6" x14ac:dyDescent="0.3">
      <c r="A51" s="532"/>
      <c r="B51" s="533"/>
      <c r="C51" s="534"/>
      <c r="D51" s="533"/>
      <c r="E51" s="533"/>
      <c r="F51" s="535"/>
      <c r="G51" s="535"/>
      <c r="H51" s="536"/>
      <c r="I51" s="533"/>
      <c r="J51" s="533"/>
      <c r="K51" s="537"/>
      <c r="L51" s="537"/>
      <c r="M51" s="538">
        <f>L51-K51</f>
        <v>0</v>
      </c>
      <c r="N51" s="549" t="s">
        <v>18</v>
      </c>
      <c r="O51" s="550"/>
      <c r="P51" s="537">
        <f>(N49-O49)*P49</f>
        <v>25.834496000000001</v>
      </c>
      <c r="Q51" s="541" t="s">
        <v>163</v>
      </c>
      <c r="R51" s="542"/>
      <c r="S51" s="537"/>
      <c r="T51" s="538"/>
      <c r="U51" s="562"/>
      <c r="V51" s="544"/>
      <c r="W51" s="545"/>
      <c r="X51" s="492"/>
      <c r="Y51" s="492"/>
      <c r="Z51" s="492"/>
    </row>
    <row r="52" spans="1:26" ht="15.6" x14ac:dyDescent="0.3">
      <c r="A52" s="532"/>
      <c r="B52" s="533"/>
      <c r="C52" s="564"/>
      <c r="D52" s="533"/>
      <c r="E52" s="535"/>
      <c r="F52" s="535"/>
      <c r="G52" s="535"/>
      <c r="H52" s="536"/>
      <c r="I52" s="533"/>
      <c r="J52" s="533"/>
      <c r="K52" s="537"/>
      <c r="L52" s="537"/>
      <c r="M52" s="538"/>
      <c r="N52" s="533"/>
      <c r="O52" s="536"/>
      <c r="P52" s="537"/>
      <c r="Q52" s="541">
        <f>60*Q49/F48</f>
        <v>301.88679245283015</v>
      </c>
      <c r="R52" s="537"/>
      <c r="S52" s="537"/>
      <c r="T52" s="538"/>
      <c r="U52" s="544"/>
      <c r="V52" s="544"/>
      <c r="W52" s="545"/>
      <c r="X52" s="492"/>
      <c r="Y52" s="492"/>
      <c r="Z52" s="492"/>
    </row>
    <row r="53" spans="1:26" ht="15.6" x14ac:dyDescent="0.3">
      <c r="A53" s="565" t="s">
        <v>49</v>
      </c>
      <c r="B53" s="566" t="s">
        <v>92</v>
      </c>
      <c r="C53" s="567">
        <v>37452</v>
      </c>
      <c r="D53" s="566">
        <v>27</v>
      </c>
      <c r="E53" s="554">
        <v>280</v>
      </c>
      <c r="F53" s="566">
        <v>21.72</v>
      </c>
      <c r="G53" s="523" t="s">
        <v>64</v>
      </c>
      <c r="H53" s="514" t="s">
        <v>6</v>
      </c>
      <c r="I53" s="514" t="s">
        <v>5</v>
      </c>
      <c r="J53" s="553" t="s">
        <v>19</v>
      </c>
      <c r="K53" s="568">
        <v>31.783000000000001</v>
      </c>
      <c r="L53" s="568">
        <v>32.01</v>
      </c>
      <c r="M53" s="569">
        <f>L53-K53</f>
        <v>0.22699999999999676</v>
      </c>
      <c r="N53" s="490" t="s">
        <v>164</v>
      </c>
      <c r="O53" s="490" t="s">
        <v>165</v>
      </c>
      <c r="P53" s="496" t="s">
        <v>166</v>
      </c>
      <c r="Q53" s="529" t="s">
        <v>167</v>
      </c>
      <c r="R53" s="568">
        <f>60*SUM(M53:M56)/F53</f>
        <v>0.84806629834253278</v>
      </c>
      <c r="S53" s="568">
        <f>100*SUM(M53:M56)/P56</f>
        <v>0.8593599017183301</v>
      </c>
      <c r="T53" s="569">
        <f>1000*SUM(M53:M56)/P56</f>
        <v>8.5935990171833012</v>
      </c>
      <c r="U53" s="554" t="s">
        <v>42</v>
      </c>
      <c r="V53" s="554" t="s">
        <v>42</v>
      </c>
      <c r="W53" s="555">
        <v>8.6</v>
      </c>
      <c r="X53" s="492"/>
      <c r="Y53" s="492"/>
      <c r="Z53" s="492"/>
    </row>
    <row r="54" spans="1:26" ht="15.6" x14ac:dyDescent="0.3">
      <c r="A54" s="570"/>
      <c r="B54" s="566" t="s">
        <v>85</v>
      </c>
      <c r="C54" s="571"/>
      <c r="D54" s="566"/>
      <c r="E54" s="566"/>
      <c r="F54" s="566"/>
      <c r="G54" s="523" t="s">
        <v>65</v>
      </c>
      <c r="H54" s="513" t="s">
        <v>62</v>
      </c>
      <c r="I54" s="514" t="s">
        <v>114</v>
      </c>
      <c r="J54" s="553" t="s">
        <v>8</v>
      </c>
      <c r="K54" s="568">
        <v>12.904999999999999</v>
      </c>
      <c r="L54" s="568">
        <v>12.984999999999999</v>
      </c>
      <c r="M54" s="569">
        <f>L54-K54</f>
        <v>8.0000000000000071E-2</v>
      </c>
      <c r="N54" s="514">
        <v>225</v>
      </c>
      <c r="O54" s="513">
        <v>48</v>
      </c>
      <c r="P54" s="524">
        <v>0.20183200000000001</v>
      </c>
      <c r="Q54" s="556">
        <f>N54-O54</f>
        <v>177</v>
      </c>
      <c r="R54" s="572"/>
      <c r="S54" s="568"/>
      <c r="T54" s="569"/>
      <c r="U54" s="553"/>
      <c r="V54" s="554"/>
      <c r="W54" s="555"/>
      <c r="X54" s="492"/>
      <c r="Y54" s="492"/>
      <c r="Z54" s="492"/>
    </row>
    <row r="55" spans="1:26" ht="15.6" x14ac:dyDescent="0.3">
      <c r="A55" s="570"/>
      <c r="B55" s="566"/>
      <c r="C55" s="571"/>
      <c r="D55" s="566"/>
      <c r="E55" s="566"/>
      <c r="F55" s="566"/>
      <c r="G55" s="566"/>
      <c r="H55" s="513" t="s">
        <v>63</v>
      </c>
      <c r="I55" s="514"/>
      <c r="J55" s="553"/>
      <c r="K55" s="568"/>
      <c r="L55" s="568"/>
      <c r="M55" s="569">
        <f>L55-K55</f>
        <v>0</v>
      </c>
      <c r="N55" s="492"/>
      <c r="O55" s="492"/>
      <c r="P55" s="493"/>
      <c r="Q55" s="556"/>
      <c r="R55" s="572"/>
      <c r="S55" s="568"/>
      <c r="T55" s="569"/>
      <c r="U55" s="573" t="s">
        <v>174</v>
      </c>
      <c r="V55" s="574"/>
      <c r="W55" s="575"/>
      <c r="X55" s="492"/>
      <c r="Y55" s="492"/>
      <c r="Z55" s="492"/>
    </row>
    <row r="56" spans="1:26" ht="15.6" x14ac:dyDescent="0.3">
      <c r="A56" s="570"/>
      <c r="B56" s="566"/>
      <c r="C56" s="571"/>
      <c r="D56" s="566"/>
      <c r="E56" s="566"/>
      <c r="F56" s="566"/>
      <c r="G56" s="566"/>
      <c r="H56" s="513"/>
      <c r="I56" s="514"/>
      <c r="J56" s="553"/>
      <c r="K56" s="568"/>
      <c r="L56" s="568"/>
      <c r="M56" s="576">
        <f>L56-K56</f>
        <v>0</v>
      </c>
      <c r="N56" s="559" t="s">
        <v>18</v>
      </c>
      <c r="O56" s="560"/>
      <c r="P56" s="524">
        <f>(N54-O54)*P54</f>
        <v>35.724264000000005</v>
      </c>
      <c r="Q56" s="556" t="s">
        <v>163</v>
      </c>
      <c r="R56" s="572"/>
      <c r="S56" s="568"/>
      <c r="T56" s="569"/>
      <c r="U56" s="553"/>
      <c r="V56" s="554"/>
      <c r="W56" s="555"/>
      <c r="X56" s="492"/>
      <c r="Y56" s="492"/>
      <c r="Z56" s="492"/>
    </row>
    <row r="57" spans="1:26" ht="16.2" thickBot="1" x14ac:dyDescent="0.35">
      <c r="A57" s="577"/>
      <c r="B57" s="578"/>
      <c r="C57" s="579"/>
      <c r="D57" s="578"/>
      <c r="E57" s="578"/>
      <c r="F57" s="578"/>
      <c r="G57" s="578"/>
      <c r="H57" s="580"/>
      <c r="I57" s="581"/>
      <c r="J57" s="582"/>
      <c r="K57" s="583"/>
      <c r="L57" s="583"/>
      <c r="M57" s="584"/>
      <c r="N57" s="581"/>
      <c r="O57" s="580"/>
      <c r="P57" s="585"/>
      <c r="Q57" s="586">
        <f>60*(N54-O54)/F53</f>
        <v>488.95027624309392</v>
      </c>
      <c r="R57" s="587"/>
      <c r="S57" s="583"/>
      <c r="T57" s="588"/>
      <c r="U57" s="582"/>
      <c r="V57" s="589"/>
      <c r="W57" s="590"/>
      <c r="X57" s="492"/>
      <c r="Y57" s="492"/>
      <c r="Z57" s="492"/>
    </row>
    <row r="58" spans="1:26" ht="15.6" x14ac:dyDescent="0.3">
      <c r="A58" s="591"/>
      <c r="B58" s="591"/>
      <c r="C58" s="592"/>
      <c r="D58" s="591"/>
      <c r="E58" s="554"/>
      <c r="F58" s="591"/>
      <c r="G58" s="591"/>
      <c r="H58" s="490"/>
      <c r="I58" s="490"/>
      <c r="J58" s="591"/>
      <c r="K58" s="593"/>
      <c r="L58" s="593"/>
      <c r="M58" s="591"/>
      <c r="N58" s="591"/>
      <c r="O58" s="591"/>
      <c r="P58" s="593"/>
      <c r="Q58" s="594"/>
      <c r="R58" s="593"/>
      <c r="S58" s="593"/>
      <c r="T58" s="591"/>
      <c r="U58" s="492"/>
      <c r="V58" s="492"/>
      <c r="W58" s="492"/>
      <c r="X58" s="492"/>
      <c r="Y58" s="492"/>
      <c r="Z58" s="492"/>
    </row>
    <row r="59" spans="1:26" ht="15.6" x14ac:dyDescent="0.3">
      <c r="A59" s="591"/>
      <c r="B59" s="591"/>
      <c r="C59" s="592"/>
      <c r="D59" s="591"/>
      <c r="E59" s="591"/>
      <c r="F59" s="591"/>
      <c r="G59" s="591"/>
      <c r="H59" s="490"/>
      <c r="I59" s="490"/>
      <c r="J59" s="591"/>
      <c r="K59" s="593"/>
      <c r="L59" s="593"/>
      <c r="M59" s="591"/>
      <c r="N59" s="591"/>
      <c r="O59" s="591"/>
      <c r="P59" s="593"/>
      <c r="Q59" s="594"/>
      <c r="R59" s="593"/>
      <c r="S59" s="593"/>
      <c r="T59" s="591"/>
      <c r="U59" s="492"/>
      <c r="V59" s="492"/>
      <c r="W59" s="492"/>
      <c r="X59" s="492"/>
      <c r="Y59" s="492"/>
      <c r="Z59" s="492"/>
    </row>
    <row r="60" spans="1:26" ht="15.6" x14ac:dyDescent="0.3">
      <c r="A60" s="595" t="s">
        <v>41</v>
      </c>
      <c r="B60" s="591"/>
      <c r="C60" s="592"/>
      <c r="D60" s="591"/>
      <c r="E60" s="591"/>
      <c r="F60" s="591"/>
      <c r="G60" s="591"/>
      <c r="H60" s="490"/>
      <c r="I60" s="490"/>
      <c r="J60" s="591"/>
      <c r="K60" s="593"/>
      <c r="L60" s="593"/>
      <c r="M60" s="591"/>
      <c r="N60" s="591"/>
      <c r="O60" s="591"/>
      <c r="P60" s="593"/>
      <c r="Q60" s="594"/>
      <c r="R60" s="593"/>
      <c r="S60" s="593"/>
      <c r="T60" s="591"/>
      <c r="U60" s="492"/>
      <c r="V60" s="492"/>
      <c r="W60" s="492"/>
      <c r="X60" s="492"/>
      <c r="Y60" s="492"/>
      <c r="Z60" s="492"/>
    </row>
    <row r="61" spans="1:26" ht="15.6" x14ac:dyDescent="0.3">
      <c r="A61" s="596" t="s">
        <v>93</v>
      </c>
      <c r="B61" s="591"/>
      <c r="C61" s="592"/>
      <c r="D61" s="591"/>
      <c r="E61" s="591"/>
      <c r="F61" s="591"/>
      <c r="G61" s="591"/>
      <c r="H61" s="490"/>
      <c r="I61" s="490"/>
      <c r="J61" s="591"/>
      <c r="K61" s="593"/>
      <c r="L61" s="593"/>
      <c r="M61" s="591"/>
      <c r="N61" s="591"/>
      <c r="O61" s="591"/>
      <c r="P61" s="593"/>
      <c r="Q61" s="594"/>
      <c r="R61" s="593"/>
      <c r="S61" s="593"/>
      <c r="T61" s="591"/>
      <c r="U61" s="492"/>
      <c r="V61" s="492"/>
      <c r="W61" s="492"/>
      <c r="X61" s="492"/>
      <c r="Y61" s="492"/>
      <c r="Z61" s="492"/>
    </row>
    <row r="62" spans="1:26" ht="15.6" x14ac:dyDescent="0.3">
      <c r="A62" s="591"/>
      <c r="B62" s="591"/>
      <c r="C62" s="592"/>
      <c r="D62" s="591"/>
      <c r="E62" s="591"/>
      <c r="F62" s="591"/>
      <c r="G62" s="591"/>
      <c r="H62" s="490"/>
      <c r="I62" s="490"/>
      <c r="J62" s="591"/>
      <c r="K62" s="593"/>
      <c r="L62" s="593"/>
      <c r="M62" s="591"/>
      <c r="N62" s="591"/>
      <c r="O62" s="591"/>
      <c r="P62" s="593"/>
      <c r="Q62" s="594"/>
      <c r="R62" s="593"/>
      <c r="S62" s="593"/>
      <c r="T62" s="591"/>
      <c r="U62" s="492"/>
      <c r="V62" s="492"/>
      <c r="W62" s="492"/>
      <c r="X62" s="492"/>
      <c r="Y62" s="492"/>
      <c r="Z62" s="492"/>
    </row>
    <row r="63" spans="1:26" ht="15.6" x14ac:dyDescent="0.3">
      <c r="A63" s="591"/>
      <c r="B63" s="591"/>
      <c r="C63" s="592"/>
      <c r="D63" s="591"/>
      <c r="E63" s="591"/>
      <c r="F63" s="591"/>
      <c r="G63" s="591"/>
      <c r="H63" s="490"/>
      <c r="I63" s="490"/>
      <c r="J63" s="591"/>
      <c r="K63" s="593"/>
      <c r="L63" s="593"/>
      <c r="M63" s="591"/>
      <c r="N63" s="591"/>
      <c r="O63" s="591"/>
      <c r="P63" s="593"/>
      <c r="Q63" s="594"/>
      <c r="R63" s="593"/>
      <c r="S63" s="593"/>
      <c r="T63" s="591"/>
      <c r="U63" s="492"/>
      <c r="V63" s="492"/>
      <c r="W63" s="492"/>
      <c r="X63" s="492"/>
      <c r="Y63" s="492"/>
      <c r="Z63" s="492"/>
    </row>
    <row r="64" spans="1:26" ht="15.6" x14ac:dyDescent="0.3">
      <c r="A64" s="591"/>
      <c r="B64" s="591"/>
      <c r="C64" s="592"/>
      <c r="D64" s="591"/>
      <c r="E64" s="591"/>
      <c r="F64" s="591"/>
      <c r="G64" s="591"/>
      <c r="H64" s="490"/>
      <c r="I64" s="490"/>
      <c r="J64" s="591"/>
      <c r="K64" s="593"/>
      <c r="L64" s="593"/>
      <c r="M64" s="591"/>
      <c r="N64" s="591"/>
      <c r="O64" s="591"/>
      <c r="P64" s="593"/>
      <c r="Q64" s="594"/>
      <c r="R64" s="593"/>
      <c r="S64" s="593"/>
      <c r="T64" s="591"/>
      <c r="U64" s="492"/>
      <c r="V64" s="492"/>
      <c r="W64" s="492"/>
      <c r="X64" s="492"/>
      <c r="Y64" s="492"/>
      <c r="Z64" s="492"/>
    </row>
    <row r="65" spans="1:26" ht="15.6" x14ac:dyDescent="0.3">
      <c r="A65" s="489" t="s">
        <v>84</v>
      </c>
      <c r="B65" s="591"/>
      <c r="C65" s="592"/>
      <c r="D65" s="591"/>
      <c r="E65" s="591"/>
      <c r="F65" s="591"/>
      <c r="G65" s="591"/>
      <c r="H65" s="490"/>
      <c r="I65" s="490"/>
      <c r="J65" s="591"/>
      <c r="K65" s="593"/>
      <c r="L65" s="593"/>
      <c r="M65" s="591"/>
      <c r="N65" s="591"/>
      <c r="O65" s="591"/>
      <c r="P65" s="593"/>
      <c r="Q65" s="594"/>
      <c r="R65" s="593"/>
      <c r="S65" s="593"/>
      <c r="T65" s="591"/>
      <c r="U65" s="492"/>
      <c r="V65" s="492"/>
      <c r="W65" s="492"/>
      <c r="X65" s="492"/>
      <c r="Y65" s="492"/>
      <c r="Z65" s="492"/>
    </row>
    <row r="66" spans="1:26" ht="15.6" x14ac:dyDescent="0.3">
      <c r="A66" s="490"/>
      <c r="B66" s="591"/>
      <c r="C66" s="592"/>
      <c r="D66" s="591"/>
      <c r="E66" s="591"/>
      <c r="F66" s="591"/>
      <c r="G66" s="591"/>
      <c r="H66" s="490"/>
      <c r="I66" s="490"/>
      <c r="J66" s="591"/>
      <c r="K66" s="593"/>
      <c r="L66" s="593"/>
      <c r="M66" s="591"/>
      <c r="N66" s="568"/>
      <c r="O66" s="591"/>
      <c r="P66" s="593"/>
      <c r="Q66" s="594"/>
      <c r="R66" s="593"/>
      <c r="S66" s="593"/>
      <c r="T66" s="591"/>
      <c r="U66" s="492"/>
      <c r="V66" s="492"/>
      <c r="W66" s="492"/>
      <c r="X66" s="492"/>
      <c r="Y66" s="492"/>
      <c r="Z66" s="492"/>
    </row>
    <row r="67" spans="1:26" ht="16.2" thickBot="1" x14ac:dyDescent="0.35">
      <c r="A67" s="490"/>
      <c r="B67" s="591"/>
      <c r="C67" s="592"/>
      <c r="D67" s="591"/>
      <c r="E67" s="591"/>
      <c r="F67" s="591"/>
      <c r="G67" s="591"/>
      <c r="H67" s="490"/>
      <c r="I67" s="490"/>
      <c r="J67" s="591"/>
      <c r="K67" s="593"/>
      <c r="L67" s="593"/>
      <c r="M67" s="591"/>
      <c r="N67" s="591"/>
      <c r="O67" s="591"/>
      <c r="P67" s="593"/>
      <c r="Q67" s="594"/>
      <c r="R67" s="593"/>
      <c r="S67" s="593"/>
      <c r="T67" s="591"/>
      <c r="U67" s="492"/>
      <c r="V67" s="492"/>
      <c r="W67" s="492"/>
      <c r="X67" s="492"/>
      <c r="Y67" s="492"/>
      <c r="Z67" s="492"/>
    </row>
    <row r="68" spans="1:26" ht="15.6" x14ac:dyDescent="0.3">
      <c r="A68" s="498" t="s">
        <v>21</v>
      </c>
      <c r="B68" s="501" t="s">
        <v>16</v>
      </c>
      <c r="C68" s="597" t="s">
        <v>7</v>
      </c>
      <c r="D68" s="501" t="s">
        <v>58</v>
      </c>
      <c r="E68" s="501" t="s">
        <v>59</v>
      </c>
      <c r="F68" s="501" t="s">
        <v>60</v>
      </c>
      <c r="G68" s="502" t="s">
        <v>14</v>
      </c>
      <c r="H68" s="501" t="s">
        <v>3</v>
      </c>
      <c r="I68" s="502" t="s">
        <v>82</v>
      </c>
      <c r="J68" s="503" t="s">
        <v>13</v>
      </c>
      <c r="K68" s="504"/>
      <c r="L68" s="504"/>
      <c r="M68" s="505"/>
      <c r="N68" s="503" t="s">
        <v>168</v>
      </c>
      <c r="O68" s="504"/>
      <c r="P68" s="504"/>
      <c r="Q68" s="505"/>
      <c r="R68" s="503" t="s">
        <v>30</v>
      </c>
      <c r="S68" s="504"/>
      <c r="T68" s="505"/>
      <c r="U68" s="506" t="s">
        <v>31</v>
      </c>
      <c r="V68" s="507"/>
      <c r="W68" s="508"/>
      <c r="X68" s="492"/>
      <c r="Y68" s="492"/>
      <c r="Z68" s="492"/>
    </row>
    <row r="69" spans="1:26" ht="15.6" x14ac:dyDescent="0.3">
      <c r="A69" s="509"/>
      <c r="B69" s="512"/>
      <c r="C69" s="598"/>
      <c r="D69" s="512"/>
      <c r="E69" s="512"/>
      <c r="F69" s="512"/>
      <c r="G69" s="517"/>
      <c r="H69" s="523"/>
      <c r="I69" s="513"/>
      <c r="J69" s="510"/>
      <c r="K69" s="515" t="s">
        <v>10</v>
      </c>
      <c r="L69" s="515" t="s">
        <v>11</v>
      </c>
      <c r="M69" s="516" t="s">
        <v>12</v>
      </c>
      <c r="N69" s="510"/>
      <c r="O69" s="517"/>
      <c r="P69" s="515"/>
      <c r="Q69" s="518"/>
      <c r="R69" s="519" t="s">
        <v>9</v>
      </c>
      <c r="S69" s="515" t="s">
        <v>15</v>
      </c>
      <c r="T69" s="516" t="s">
        <v>20</v>
      </c>
      <c r="U69" s="519" t="s">
        <v>9</v>
      </c>
      <c r="V69" s="515" t="s">
        <v>15</v>
      </c>
      <c r="W69" s="520" t="s">
        <v>20</v>
      </c>
      <c r="X69" s="492"/>
      <c r="Y69" s="492"/>
      <c r="Z69" s="492"/>
    </row>
    <row r="70" spans="1:26" s="66" customFormat="1" ht="15.6" x14ac:dyDescent="0.3">
      <c r="A70" s="521"/>
      <c r="B70" s="514"/>
      <c r="C70" s="522"/>
      <c r="D70" s="514" t="s">
        <v>74</v>
      </c>
      <c r="E70" s="514" t="s">
        <v>75</v>
      </c>
      <c r="F70" s="523" t="s">
        <v>76</v>
      </c>
      <c r="G70" s="523"/>
      <c r="H70" s="513"/>
      <c r="I70" s="523"/>
      <c r="J70" s="514"/>
      <c r="K70" s="524" t="s">
        <v>4</v>
      </c>
      <c r="L70" s="524" t="s">
        <v>4</v>
      </c>
      <c r="M70" s="513" t="s">
        <v>4</v>
      </c>
      <c r="N70" s="514"/>
      <c r="O70" s="513"/>
      <c r="P70" s="513"/>
      <c r="Q70" s="525"/>
      <c r="R70" s="526" t="s">
        <v>1</v>
      </c>
      <c r="S70" s="524"/>
      <c r="T70" s="527"/>
      <c r="U70" s="526"/>
      <c r="V70" s="524"/>
      <c r="W70" s="528"/>
      <c r="X70" s="490"/>
      <c r="Y70" s="490"/>
      <c r="Z70" s="490"/>
    </row>
    <row r="71" spans="1:26" ht="15.6" x14ac:dyDescent="0.3">
      <c r="A71" s="521"/>
      <c r="B71" s="566"/>
      <c r="C71" s="571"/>
      <c r="D71" s="566"/>
      <c r="E71" s="566"/>
      <c r="F71" s="566"/>
      <c r="G71" s="554"/>
      <c r="H71" s="523"/>
      <c r="I71" s="513"/>
      <c r="J71" s="553"/>
      <c r="K71" s="568"/>
      <c r="L71" s="568"/>
      <c r="M71" s="569"/>
      <c r="N71" s="553"/>
      <c r="O71" s="554"/>
      <c r="P71" s="568"/>
      <c r="Q71" s="556"/>
      <c r="R71" s="572"/>
      <c r="S71" s="568"/>
      <c r="T71" s="569"/>
      <c r="U71" s="563"/>
      <c r="V71" s="530"/>
      <c r="W71" s="531"/>
      <c r="X71" s="492"/>
      <c r="Y71" s="492"/>
      <c r="Z71" s="492"/>
    </row>
    <row r="72" spans="1:26" ht="15.6" x14ac:dyDescent="0.3">
      <c r="A72" s="532" t="s">
        <v>35</v>
      </c>
      <c r="B72" s="535" t="s">
        <v>94</v>
      </c>
      <c r="C72" s="564">
        <v>37452</v>
      </c>
      <c r="D72" s="535">
        <v>27</v>
      </c>
      <c r="E72" s="535">
        <v>300</v>
      </c>
      <c r="F72" s="535">
        <v>20.149999999999999</v>
      </c>
      <c r="G72" s="536" t="s">
        <v>64</v>
      </c>
      <c r="H72" s="535" t="s">
        <v>6</v>
      </c>
      <c r="I72" s="533" t="s">
        <v>5</v>
      </c>
      <c r="J72" s="533" t="s">
        <v>19</v>
      </c>
      <c r="K72" s="537">
        <v>31.042000000000002</v>
      </c>
      <c r="L72" s="537">
        <v>31.247</v>
      </c>
      <c r="M72" s="538">
        <f>L72-K72</f>
        <v>0.20499999999999829</v>
      </c>
      <c r="N72" s="539" t="s">
        <v>164</v>
      </c>
      <c r="O72" s="539" t="s">
        <v>165</v>
      </c>
      <c r="P72" s="540" t="s">
        <v>166</v>
      </c>
      <c r="Q72" s="541" t="s">
        <v>167</v>
      </c>
      <c r="R72" s="542">
        <f>60*SUM(M72:M75)/F72</f>
        <v>0.84267990074441534</v>
      </c>
      <c r="S72" s="537">
        <f>100*SUM(M72:M75)/P75</f>
        <v>0.80123214214933913</v>
      </c>
      <c r="T72" s="538">
        <f>1000*SUM(M72:M75)/P75</f>
        <v>8.0123214214933913</v>
      </c>
      <c r="U72" s="533" t="s">
        <v>42</v>
      </c>
      <c r="V72" s="536" t="s">
        <v>42</v>
      </c>
      <c r="W72" s="543">
        <v>8.6</v>
      </c>
      <c r="X72" s="492"/>
      <c r="Y72" s="492"/>
      <c r="Z72" s="492"/>
    </row>
    <row r="73" spans="1:26" ht="15.6" x14ac:dyDescent="0.3">
      <c r="A73" s="532"/>
      <c r="B73" s="535" t="s">
        <v>85</v>
      </c>
      <c r="C73" s="564"/>
      <c r="D73" s="535"/>
      <c r="E73" s="535"/>
      <c r="F73" s="535"/>
      <c r="G73" s="536" t="s">
        <v>65</v>
      </c>
      <c r="H73" s="535" t="s">
        <v>62</v>
      </c>
      <c r="I73" s="533" t="s">
        <v>114</v>
      </c>
      <c r="J73" s="533" t="s">
        <v>8</v>
      </c>
      <c r="K73" s="537">
        <v>13.417999999999999</v>
      </c>
      <c r="L73" s="537">
        <v>13.496</v>
      </c>
      <c r="M73" s="538">
        <f>L73-K73</f>
        <v>7.800000000000118E-2</v>
      </c>
      <c r="N73" s="533">
        <v>180</v>
      </c>
      <c r="O73" s="536">
        <v>5</v>
      </c>
      <c r="P73" s="537">
        <v>0.20183200000000001</v>
      </c>
      <c r="Q73" s="541">
        <f>N73-O73</f>
        <v>175</v>
      </c>
      <c r="R73" s="542"/>
      <c r="S73" s="537"/>
      <c r="T73" s="538"/>
      <c r="U73" s="533"/>
      <c r="V73" s="536"/>
      <c r="W73" s="543"/>
      <c r="X73" s="492"/>
      <c r="Y73" s="492"/>
      <c r="Z73" s="492"/>
    </row>
    <row r="74" spans="1:26" ht="15.6" x14ac:dyDescent="0.3">
      <c r="A74" s="532"/>
      <c r="B74" s="535"/>
      <c r="C74" s="564"/>
      <c r="D74" s="535"/>
      <c r="E74" s="535"/>
      <c r="F74" s="535"/>
      <c r="G74" s="536"/>
      <c r="H74" s="535" t="s">
        <v>63</v>
      </c>
      <c r="I74" s="533"/>
      <c r="J74" s="533"/>
      <c r="K74" s="537"/>
      <c r="L74" s="537"/>
      <c r="M74" s="538">
        <f>L74-K74</f>
        <v>0</v>
      </c>
      <c r="N74" s="546"/>
      <c r="O74" s="546"/>
      <c r="P74" s="547"/>
      <c r="Q74" s="548"/>
      <c r="R74" s="542"/>
      <c r="S74" s="537"/>
      <c r="T74" s="538"/>
      <c r="U74" s="549" t="s">
        <v>174</v>
      </c>
      <c r="V74" s="550"/>
      <c r="W74" s="551"/>
      <c r="X74" s="492"/>
      <c r="Y74" s="492"/>
      <c r="Z74" s="492"/>
    </row>
    <row r="75" spans="1:26" ht="15.6" x14ac:dyDescent="0.3">
      <c r="A75" s="532"/>
      <c r="B75" s="535"/>
      <c r="C75" s="564"/>
      <c r="D75" s="535"/>
      <c r="E75" s="535"/>
      <c r="F75" s="535"/>
      <c r="G75" s="536"/>
      <c r="H75" s="535"/>
      <c r="I75" s="533"/>
      <c r="J75" s="533"/>
      <c r="K75" s="537"/>
      <c r="L75" s="537"/>
      <c r="M75" s="538">
        <f>L75-K75</f>
        <v>0</v>
      </c>
      <c r="N75" s="549" t="s">
        <v>18</v>
      </c>
      <c r="O75" s="550"/>
      <c r="P75" s="537">
        <f>(N73-O73)*P73</f>
        <v>35.320599999999999</v>
      </c>
      <c r="Q75" s="541" t="s">
        <v>163</v>
      </c>
      <c r="R75" s="542"/>
      <c r="S75" s="537"/>
      <c r="T75" s="538"/>
      <c r="U75" s="533"/>
      <c r="V75" s="536"/>
      <c r="W75" s="543"/>
      <c r="X75" s="492"/>
      <c r="Y75" s="492"/>
      <c r="Z75" s="492"/>
    </row>
    <row r="76" spans="1:26" ht="15.6" x14ac:dyDescent="0.3">
      <c r="A76" s="532"/>
      <c r="B76" s="535"/>
      <c r="C76" s="564"/>
      <c r="D76" s="535"/>
      <c r="E76" s="535"/>
      <c r="F76" s="535"/>
      <c r="G76" s="536"/>
      <c r="H76" s="535"/>
      <c r="I76" s="533"/>
      <c r="J76" s="533"/>
      <c r="K76" s="537"/>
      <c r="L76" s="537"/>
      <c r="M76" s="538"/>
      <c r="N76" s="533"/>
      <c r="O76" s="536"/>
      <c r="P76" s="537"/>
      <c r="Q76" s="541">
        <f>60*Q73/F72</f>
        <v>521.09181141439205</v>
      </c>
      <c r="R76" s="542"/>
      <c r="S76" s="537"/>
      <c r="T76" s="538"/>
      <c r="U76" s="533"/>
      <c r="V76" s="536"/>
      <c r="W76" s="543"/>
      <c r="X76" s="492"/>
      <c r="Y76" s="492"/>
      <c r="Z76" s="492"/>
    </row>
    <row r="77" spans="1:26" ht="15.6" x14ac:dyDescent="0.3">
      <c r="A77" s="570">
        <v>12</v>
      </c>
      <c r="B77" s="566" t="s">
        <v>88</v>
      </c>
      <c r="C77" s="571">
        <v>37461</v>
      </c>
      <c r="D77" s="566">
        <v>27</v>
      </c>
      <c r="E77" s="566">
        <v>295</v>
      </c>
      <c r="F77" s="566">
        <v>10.34</v>
      </c>
      <c r="G77" s="513" t="s">
        <v>64</v>
      </c>
      <c r="H77" s="523" t="s">
        <v>6</v>
      </c>
      <c r="I77" s="514" t="s">
        <v>5</v>
      </c>
      <c r="J77" s="553" t="s">
        <v>8</v>
      </c>
      <c r="K77" s="568">
        <v>20.245000000000001</v>
      </c>
      <c r="L77" s="568">
        <v>20.369</v>
      </c>
      <c r="M77" s="569">
        <f>L77-K77</f>
        <v>0.12399999999999878</v>
      </c>
      <c r="N77" s="490" t="s">
        <v>164</v>
      </c>
      <c r="O77" s="490" t="s">
        <v>165</v>
      </c>
      <c r="P77" s="496" t="s">
        <v>166</v>
      </c>
      <c r="Q77" s="497" t="s">
        <v>167</v>
      </c>
      <c r="R77" s="526">
        <f>60*SUM(M77:M80)/F77</f>
        <v>0.71953578336556356</v>
      </c>
      <c r="S77" s="524">
        <f>100*SUM(M77:M80)/P80</f>
        <v>0.77037285176248738</v>
      </c>
      <c r="T77" s="527">
        <f>1000*SUM(M77:M80)/P80</f>
        <v>7.7037285176248735</v>
      </c>
      <c r="U77" s="553" t="s">
        <v>42</v>
      </c>
      <c r="V77" s="554" t="s">
        <v>42</v>
      </c>
      <c r="W77" s="555">
        <v>8.6</v>
      </c>
      <c r="X77" s="492"/>
      <c r="Y77" s="492"/>
      <c r="Z77" s="492"/>
    </row>
    <row r="78" spans="1:26" ht="15.6" x14ac:dyDescent="0.3">
      <c r="A78" s="570"/>
      <c r="B78" s="566" t="s">
        <v>85</v>
      </c>
      <c r="C78" s="571"/>
      <c r="D78" s="566"/>
      <c r="E78" s="566"/>
      <c r="F78" s="566"/>
      <c r="G78" s="513" t="s">
        <v>65</v>
      </c>
      <c r="H78" s="523" t="s">
        <v>62</v>
      </c>
      <c r="I78" s="514" t="s">
        <v>114</v>
      </c>
      <c r="J78" s="553"/>
      <c r="K78" s="568"/>
      <c r="L78" s="568"/>
      <c r="M78" s="569">
        <f>L78-K78</f>
        <v>0</v>
      </c>
      <c r="N78" s="514">
        <v>120</v>
      </c>
      <c r="O78" s="513">
        <v>40.25</v>
      </c>
      <c r="P78" s="524">
        <v>0.20183200000000001</v>
      </c>
      <c r="Q78" s="556">
        <f>N78-O78</f>
        <v>79.75</v>
      </c>
      <c r="R78" s="526"/>
      <c r="S78" s="524"/>
      <c r="T78" s="527"/>
      <c r="U78" s="553"/>
      <c r="V78" s="554"/>
      <c r="W78" s="555"/>
      <c r="X78" s="492"/>
      <c r="Y78" s="492"/>
      <c r="Z78" s="492"/>
    </row>
    <row r="79" spans="1:26" ht="15.6" x14ac:dyDescent="0.3">
      <c r="A79" s="570"/>
      <c r="B79" s="566"/>
      <c r="C79" s="571"/>
      <c r="D79" s="566"/>
      <c r="E79" s="566"/>
      <c r="F79" s="566"/>
      <c r="G79" s="554"/>
      <c r="H79" s="523" t="s">
        <v>63</v>
      </c>
      <c r="I79" s="513"/>
      <c r="J79" s="553"/>
      <c r="K79" s="568"/>
      <c r="L79" s="568"/>
      <c r="M79" s="569">
        <f>L79-K79</f>
        <v>0</v>
      </c>
      <c r="N79" s="492"/>
      <c r="O79" s="492"/>
      <c r="P79" s="493"/>
      <c r="Q79" s="556"/>
      <c r="R79" s="526"/>
      <c r="S79" s="524"/>
      <c r="T79" s="527"/>
      <c r="U79" s="573" t="s">
        <v>174</v>
      </c>
      <c r="V79" s="574"/>
      <c r="W79" s="575"/>
      <c r="X79" s="492"/>
      <c r="Y79" s="492"/>
      <c r="Z79" s="492"/>
    </row>
    <row r="80" spans="1:26" ht="15.6" x14ac:dyDescent="0.3">
      <c r="A80" s="570"/>
      <c r="B80" s="566" t="s">
        <v>27</v>
      </c>
      <c r="C80" s="571"/>
      <c r="D80" s="566"/>
      <c r="E80" s="566"/>
      <c r="F80" s="566"/>
      <c r="G80" s="554"/>
      <c r="H80" s="523"/>
      <c r="I80" s="513"/>
      <c r="J80" s="553"/>
      <c r="K80" s="568"/>
      <c r="L80" s="568"/>
      <c r="M80" s="569">
        <f>L80-K80</f>
        <v>0</v>
      </c>
      <c r="N80" s="559" t="s">
        <v>18</v>
      </c>
      <c r="O80" s="560"/>
      <c r="P80" s="524">
        <f>(N78-O78)*P78</f>
        <v>16.096102000000002</v>
      </c>
      <c r="Q80" s="556" t="s">
        <v>163</v>
      </c>
      <c r="R80" s="526"/>
      <c r="S80" s="524"/>
      <c r="T80" s="527"/>
      <c r="U80" s="553"/>
      <c r="V80" s="554"/>
      <c r="W80" s="555"/>
      <c r="X80" s="492"/>
      <c r="Y80" s="492"/>
      <c r="Z80" s="492"/>
    </row>
    <row r="81" spans="1:26" ht="15.6" x14ac:dyDescent="0.3">
      <c r="A81" s="570"/>
      <c r="B81" s="566"/>
      <c r="C81" s="571"/>
      <c r="D81" s="566"/>
      <c r="E81" s="566"/>
      <c r="F81" s="566"/>
      <c r="G81" s="554"/>
      <c r="H81" s="523"/>
      <c r="I81" s="513"/>
      <c r="J81" s="553"/>
      <c r="K81" s="568"/>
      <c r="L81" s="568"/>
      <c r="M81" s="569"/>
      <c r="N81" s="514"/>
      <c r="O81" s="513"/>
      <c r="P81" s="524"/>
      <c r="Q81" s="556">
        <f>60*(N78-O78)/F77</f>
        <v>462.7659574468085</v>
      </c>
      <c r="R81" s="526"/>
      <c r="S81" s="524"/>
      <c r="T81" s="527"/>
      <c r="U81" s="553"/>
      <c r="V81" s="554"/>
      <c r="W81" s="555"/>
      <c r="X81" s="492"/>
      <c r="Y81" s="492"/>
      <c r="Z81" s="492"/>
    </row>
    <row r="82" spans="1:26" ht="15.6" x14ac:dyDescent="0.3">
      <c r="A82" s="532" t="s">
        <v>36</v>
      </c>
      <c r="B82" s="535" t="s">
        <v>95</v>
      </c>
      <c r="C82" s="564">
        <v>37489</v>
      </c>
      <c r="D82" s="535">
        <v>27</v>
      </c>
      <c r="E82" s="535">
        <v>295</v>
      </c>
      <c r="F82" s="535">
        <v>11.66</v>
      </c>
      <c r="G82" s="536" t="s">
        <v>64</v>
      </c>
      <c r="H82" s="535" t="s">
        <v>6</v>
      </c>
      <c r="I82" s="536" t="s">
        <v>5</v>
      </c>
      <c r="J82" s="533" t="s">
        <v>8</v>
      </c>
      <c r="K82" s="537">
        <v>21.346</v>
      </c>
      <c r="L82" s="537">
        <v>21.472999999999999</v>
      </c>
      <c r="M82" s="538">
        <f>L82-K82</f>
        <v>0.12699999999999889</v>
      </c>
      <c r="N82" s="539" t="s">
        <v>164</v>
      </c>
      <c r="O82" s="539" t="s">
        <v>165</v>
      </c>
      <c r="P82" s="540" t="s">
        <v>166</v>
      </c>
      <c r="Q82" s="541" t="s">
        <v>167</v>
      </c>
      <c r="R82" s="542">
        <f>60*SUM(M82:M85)/F82</f>
        <v>0.65351629502572328</v>
      </c>
      <c r="S82" s="537">
        <f>100*SUM(M82:M85)/P85</f>
        <v>0.79650151448177031</v>
      </c>
      <c r="T82" s="538">
        <f>1000*SUM(M82:M85)/P85</f>
        <v>7.9650151448177029</v>
      </c>
      <c r="U82" s="533" t="s">
        <v>42</v>
      </c>
      <c r="V82" s="536" t="s">
        <v>42</v>
      </c>
      <c r="W82" s="543">
        <v>8.6</v>
      </c>
      <c r="X82" s="492"/>
      <c r="Y82" s="492"/>
      <c r="Z82" s="492"/>
    </row>
    <row r="83" spans="1:26" ht="15.6" x14ac:dyDescent="0.3">
      <c r="A83" s="532"/>
      <c r="B83" s="535" t="s">
        <v>85</v>
      </c>
      <c r="C83" s="564"/>
      <c r="D83" s="535"/>
      <c r="E83" s="535"/>
      <c r="F83" s="535"/>
      <c r="G83" s="536" t="s">
        <v>65</v>
      </c>
      <c r="H83" s="535" t="s">
        <v>62</v>
      </c>
      <c r="I83" s="536" t="s">
        <v>114</v>
      </c>
      <c r="J83" s="533"/>
      <c r="K83" s="537"/>
      <c r="L83" s="537"/>
      <c r="M83" s="538">
        <f>L83-K83</f>
        <v>0</v>
      </c>
      <c r="N83" s="533">
        <v>125</v>
      </c>
      <c r="O83" s="536">
        <v>46</v>
      </c>
      <c r="P83" s="537">
        <v>0.20183200000000001</v>
      </c>
      <c r="Q83" s="541">
        <f>N83-O83</f>
        <v>79</v>
      </c>
      <c r="R83" s="542"/>
      <c r="S83" s="537"/>
      <c r="T83" s="538"/>
      <c r="U83" s="533"/>
      <c r="V83" s="536"/>
      <c r="W83" s="543"/>
      <c r="X83" s="492"/>
      <c r="Y83" s="492"/>
      <c r="Z83" s="492"/>
    </row>
    <row r="84" spans="1:26" ht="15.6" x14ac:dyDescent="0.3">
      <c r="A84" s="532"/>
      <c r="B84" s="535"/>
      <c r="C84" s="564"/>
      <c r="D84" s="535"/>
      <c r="E84" s="535"/>
      <c r="F84" s="535"/>
      <c r="G84" s="536"/>
      <c r="H84" s="535" t="s">
        <v>63</v>
      </c>
      <c r="I84" s="536"/>
      <c r="J84" s="533"/>
      <c r="K84" s="537"/>
      <c r="L84" s="537"/>
      <c r="M84" s="538">
        <f>L84-K84</f>
        <v>0</v>
      </c>
      <c r="N84" s="546"/>
      <c r="O84" s="546"/>
      <c r="P84" s="547"/>
      <c r="Q84" s="548"/>
      <c r="R84" s="542"/>
      <c r="S84" s="537"/>
      <c r="T84" s="538"/>
      <c r="U84" s="549" t="s">
        <v>174</v>
      </c>
      <c r="V84" s="550"/>
      <c r="W84" s="551"/>
      <c r="X84" s="492"/>
      <c r="Y84" s="492"/>
      <c r="Z84" s="492"/>
    </row>
    <row r="85" spans="1:26" ht="15.6" x14ac:dyDescent="0.3">
      <c r="A85" s="532"/>
      <c r="B85" s="535"/>
      <c r="C85" s="564"/>
      <c r="D85" s="535"/>
      <c r="E85" s="535"/>
      <c r="F85" s="535"/>
      <c r="G85" s="536"/>
      <c r="H85" s="535"/>
      <c r="I85" s="536"/>
      <c r="J85" s="533"/>
      <c r="K85" s="537"/>
      <c r="L85" s="537"/>
      <c r="M85" s="538">
        <f>L85-K85</f>
        <v>0</v>
      </c>
      <c r="N85" s="549" t="s">
        <v>18</v>
      </c>
      <c r="O85" s="550"/>
      <c r="P85" s="537">
        <f>(N83-O83)*P83</f>
        <v>15.944728000000001</v>
      </c>
      <c r="Q85" s="541" t="s">
        <v>163</v>
      </c>
      <c r="R85" s="542"/>
      <c r="S85" s="537"/>
      <c r="T85" s="538"/>
      <c r="U85" s="533"/>
      <c r="V85" s="536"/>
      <c r="W85" s="543"/>
      <c r="X85" s="492"/>
      <c r="Y85" s="492"/>
      <c r="Z85" s="492"/>
    </row>
    <row r="86" spans="1:26" ht="15.6" x14ac:dyDescent="0.3">
      <c r="A86" s="532"/>
      <c r="B86" s="535"/>
      <c r="C86" s="564"/>
      <c r="D86" s="535"/>
      <c r="E86" s="535"/>
      <c r="F86" s="535"/>
      <c r="G86" s="536"/>
      <c r="H86" s="535"/>
      <c r="I86" s="536"/>
      <c r="J86" s="533"/>
      <c r="K86" s="537"/>
      <c r="L86" s="537"/>
      <c r="M86" s="538"/>
      <c r="N86" s="533"/>
      <c r="O86" s="536"/>
      <c r="P86" s="537"/>
      <c r="Q86" s="541">
        <f>60*Q83/F82</f>
        <v>406.5180102915952</v>
      </c>
      <c r="R86" s="537"/>
      <c r="S86" s="537"/>
      <c r="T86" s="538"/>
      <c r="U86" s="533"/>
      <c r="V86" s="536"/>
      <c r="W86" s="543"/>
      <c r="X86" s="492"/>
      <c r="Y86" s="492"/>
      <c r="Z86" s="492"/>
    </row>
    <row r="87" spans="1:26" ht="15.6" x14ac:dyDescent="0.3">
      <c r="A87" s="570">
        <v>14</v>
      </c>
      <c r="B87" s="566" t="s">
        <v>95</v>
      </c>
      <c r="C87" s="571">
        <v>37496</v>
      </c>
      <c r="D87" s="566">
        <v>24</v>
      </c>
      <c r="E87" s="566">
        <v>225</v>
      </c>
      <c r="F87" s="566">
        <v>10.44</v>
      </c>
      <c r="G87" s="513" t="s">
        <v>66</v>
      </c>
      <c r="H87" s="523" t="s">
        <v>61</v>
      </c>
      <c r="I87" s="513" t="s">
        <v>115</v>
      </c>
      <c r="J87" s="553" t="s">
        <v>8</v>
      </c>
      <c r="K87" s="568">
        <v>20.635999999999999</v>
      </c>
      <c r="L87" s="568">
        <v>20.747</v>
      </c>
      <c r="M87" s="569">
        <f>L87-K87</f>
        <v>0.11100000000000065</v>
      </c>
      <c r="N87" s="490" t="s">
        <v>164</v>
      </c>
      <c r="O87" s="490" t="s">
        <v>165</v>
      </c>
      <c r="P87" s="496" t="s">
        <v>166</v>
      </c>
      <c r="Q87" s="529" t="s">
        <v>167</v>
      </c>
      <c r="R87" s="568">
        <f>60*SUM(M87:M90)/F87</f>
        <v>0.63793103448276245</v>
      </c>
      <c r="S87" s="568">
        <f>100*SUM(M87:M90)/P90</f>
        <v>0.89272892796808057</v>
      </c>
      <c r="T87" s="569">
        <f>1000*SUM(M87:M90)/P90</f>
        <v>8.9272892796808065</v>
      </c>
      <c r="U87" s="553" t="s">
        <v>42</v>
      </c>
      <c r="V87" s="554" t="s">
        <v>42</v>
      </c>
      <c r="W87" s="555">
        <v>4.8</v>
      </c>
      <c r="X87" s="492"/>
      <c r="Y87" s="492"/>
      <c r="Z87" s="492"/>
    </row>
    <row r="88" spans="1:26" ht="15.6" x14ac:dyDescent="0.3">
      <c r="A88" s="570"/>
      <c r="B88" s="566" t="s">
        <v>85</v>
      </c>
      <c r="C88" s="571"/>
      <c r="D88" s="566"/>
      <c r="E88" s="566"/>
      <c r="F88" s="566"/>
      <c r="G88" s="513" t="s">
        <v>65</v>
      </c>
      <c r="H88" s="523">
        <v>304</v>
      </c>
      <c r="I88" s="513" t="s">
        <v>114</v>
      </c>
      <c r="J88" s="553"/>
      <c r="K88" s="568"/>
      <c r="L88" s="568"/>
      <c r="M88" s="569">
        <f>L88-K88</f>
        <v>0</v>
      </c>
      <c r="N88" s="514">
        <v>60</v>
      </c>
      <c r="O88" s="513">
        <v>3.5</v>
      </c>
      <c r="P88" s="568">
        <v>0.22006700000000001</v>
      </c>
      <c r="Q88" s="556">
        <f>N88-O88</f>
        <v>56.5</v>
      </c>
      <c r="R88" s="572"/>
      <c r="S88" s="568"/>
      <c r="T88" s="569"/>
      <c r="U88" s="553"/>
      <c r="V88" s="554"/>
      <c r="W88" s="555"/>
      <c r="X88" s="492"/>
      <c r="Y88" s="492"/>
      <c r="Z88" s="492"/>
    </row>
    <row r="89" spans="1:26" ht="15.6" x14ac:dyDescent="0.3">
      <c r="A89" s="570"/>
      <c r="B89" s="566"/>
      <c r="C89" s="571"/>
      <c r="D89" s="566"/>
      <c r="E89" s="566"/>
      <c r="F89" s="566"/>
      <c r="G89" s="554"/>
      <c r="H89" s="523"/>
      <c r="I89" s="513"/>
      <c r="J89" s="553"/>
      <c r="K89" s="568"/>
      <c r="L89" s="568"/>
      <c r="M89" s="569">
        <f>L89-K89</f>
        <v>0</v>
      </c>
      <c r="N89" s="492"/>
      <c r="O89" s="492"/>
      <c r="P89" s="493"/>
      <c r="Q89" s="556"/>
      <c r="R89" s="572"/>
      <c r="S89" s="568"/>
      <c r="T89" s="569"/>
      <c r="U89" s="573" t="s">
        <v>175</v>
      </c>
      <c r="V89" s="574"/>
      <c r="W89" s="575"/>
      <c r="X89" s="492"/>
      <c r="Y89" s="492"/>
      <c r="Z89" s="492"/>
    </row>
    <row r="90" spans="1:26" ht="15.6" x14ac:dyDescent="0.3">
      <c r="A90" s="570"/>
      <c r="B90" s="566"/>
      <c r="C90" s="571"/>
      <c r="D90" s="566"/>
      <c r="E90" s="566"/>
      <c r="F90" s="566"/>
      <c r="G90" s="554"/>
      <c r="H90" s="523"/>
      <c r="I90" s="513"/>
      <c r="J90" s="553"/>
      <c r="K90" s="568"/>
      <c r="L90" s="568"/>
      <c r="M90" s="569">
        <f>L90-K90</f>
        <v>0</v>
      </c>
      <c r="N90" s="559" t="s">
        <v>18</v>
      </c>
      <c r="O90" s="560"/>
      <c r="P90" s="524">
        <f>(N88-O88)*P88</f>
        <v>12.433785500000001</v>
      </c>
      <c r="Q90" s="556" t="s">
        <v>163</v>
      </c>
      <c r="R90" s="572"/>
      <c r="S90" s="568"/>
      <c r="T90" s="569"/>
      <c r="U90" s="553"/>
      <c r="V90" s="554"/>
      <c r="W90" s="555"/>
      <c r="X90" s="492"/>
      <c r="Y90" s="492"/>
      <c r="Z90" s="492"/>
    </row>
    <row r="91" spans="1:26" ht="15.6" x14ac:dyDescent="0.3">
      <c r="A91" s="570"/>
      <c r="B91" s="566"/>
      <c r="C91" s="571"/>
      <c r="D91" s="566"/>
      <c r="E91" s="566"/>
      <c r="F91" s="566"/>
      <c r="G91" s="554"/>
      <c r="H91" s="523"/>
      <c r="I91" s="513"/>
      <c r="J91" s="553"/>
      <c r="K91" s="568"/>
      <c r="L91" s="568"/>
      <c r="M91" s="554"/>
      <c r="N91" s="514"/>
      <c r="O91" s="513"/>
      <c r="P91" s="524"/>
      <c r="Q91" s="599">
        <f>60*(N88-O88)/F87</f>
        <v>324.71264367816093</v>
      </c>
      <c r="R91" s="572"/>
      <c r="S91" s="568"/>
      <c r="T91" s="554"/>
      <c r="U91" s="553"/>
      <c r="V91" s="554"/>
      <c r="W91" s="555"/>
      <c r="X91" s="492"/>
      <c r="Y91" s="492"/>
      <c r="Z91" s="492"/>
    </row>
    <row r="92" spans="1:26" ht="15.6" x14ac:dyDescent="0.3">
      <c r="A92" s="532" t="s">
        <v>37</v>
      </c>
      <c r="B92" s="535" t="s">
        <v>95</v>
      </c>
      <c r="C92" s="564">
        <v>37496</v>
      </c>
      <c r="D92" s="535">
        <v>24</v>
      </c>
      <c r="E92" s="535">
        <v>225</v>
      </c>
      <c r="F92" s="535">
        <v>10.47</v>
      </c>
      <c r="G92" s="536" t="s">
        <v>66</v>
      </c>
      <c r="H92" s="535" t="s">
        <v>61</v>
      </c>
      <c r="I92" s="536" t="s">
        <v>115</v>
      </c>
      <c r="J92" s="533" t="s">
        <v>22</v>
      </c>
      <c r="K92" s="537">
        <v>22.206</v>
      </c>
      <c r="L92" s="537">
        <v>22.31</v>
      </c>
      <c r="M92" s="538">
        <f>L92-K92</f>
        <v>0.1039999999999992</v>
      </c>
      <c r="N92" s="539" t="s">
        <v>164</v>
      </c>
      <c r="O92" s="539" t="s">
        <v>165</v>
      </c>
      <c r="P92" s="540" t="s">
        <v>166</v>
      </c>
      <c r="Q92" s="541" t="s">
        <v>167</v>
      </c>
      <c r="R92" s="542">
        <f>60*SUM(M92:M95)/F92</f>
        <v>0.59598853868194379</v>
      </c>
      <c r="S92" s="537">
        <f>100*SUM(M92:M95)/P95</f>
        <v>0.96692245445779967</v>
      </c>
      <c r="T92" s="538">
        <f>1000*SUM(M92:M95)/P95</f>
        <v>9.6692245445779967</v>
      </c>
      <c r="U92" s="533" t="s">
        <v>42</v>
      </c>
      <c r="V92" s="536" t="s">
        <v>42</v>
      </c>
      <c r="W92" s="543">
        <v>4.8</v>
      </c>
      <c r="X92" s="492"/>
      <c r="Y92" s="492"/>
      <c r="Z92" s="492"/>
    </row>
    <row r="93" spans="1:26" ht="15.6" x14ac:dyDescent="0.3">
      <c r="A93" s="532"/>
      <c r="B93" s="535" t="s">
        <v>85</v>
      </c>
      <c r="C93" s="564"/>
      <c r="D93" s="535"/>
      <c r="E93" s="535"/>
      <c r="F93" s="535"/>
      <c r="G93" s="536" t="s">
        <v>65</v>
      </c>
      <c r="H93" s="535">
        <v>304</v>
      </c>
      <c r="I93" s="536" t="s">
        <v>114</v>
      </c>
      <c r="J93" s="533"/>
      <c r="K93" s="537"/>
      <c r="L93" s="537"/>
      <c r="M93" s="538">
        <f>L93-K93</f>
        <v>0</v>
      </c>
      <c r="N93" s="533">
        <v>60</v>
      </c>
      <c r="O93" s="536">
        <v>11.125</v>
      </c>
      <c r="P93" s="537">
        <v>0.22006700000000001</v>
      </c>
      <c r="Q93" s="541">
        <f>N93-O93</f>
        <v>48.875</v>
      </c>
      <c r="R93" s="542"/>
      <c r="S93" s="537"/>
      <c r="T93" s="538"/>
      <c r="U93" s="533"/>
      <c r="V93" s="544"/>
      <c r="W93" s="543"/>
      <c r="X93" s="492"/>
      <c r="Y93" s="492"/>
      <c r="Z93" s="492"/>
    </row>
    <row r="94" spans="1:26" ht="15.6" x14ac:dyDescent="0.3">
      <c r="A94" s="532"/>
      <c r="B94" s="535"/>
      <c r="C94" s="564"/>
      <c r="D94" s="535"/>
      <c r="E94" s="535"/>
      <c r="F94" s="535"/>
      <c r="G94" s="536"/>
      <c r="H94" s="535"/>
      <c r="I94" s="536"/>
      <c r="J94" s="533"/>
      <c r="K94" s="537"/>
      <c r="L94" s="537"/>
      <c r="M94" s="538">
        <f>L94-K94</f>
        <v>0</v>
      </c>
      <c r="N94" s="546"/>
      <c r="O94" s="546"/>
      <c r="P94" s="547"/>
      <c r="Q94" s="548"/>
      <c r="R94" s="542"/>
      <c r="S94" s="537"/>
      <c r="T94" s="538"/>
      <c r="U94" s="549" t="s">
        <v>175</v>
      </c>
      <c r="V94" s="550"/>
      <c r="W94" s="551"/>
      <c r="X94" s="492"/>
      <c r="Y94" s="492"/>
      <c r="Z94" s="492"/>
    </row>
    <row r="95" spans="1:26" ht="15.6" x14ac:dyDescent="0.3">
      <c r="A95" s="532"/>
      <c r="B95" s="535"/>
      <c r="C95" s="564"/>
      <c r="D95" s="535"/>
      <c r="E95" s="535"/>
      <c r="F95" s="535"/>
      <c r="G95" s="536"/>
      <c r="H95" s="535"/>
      <c r="I95" s="536"/>
      <c r="J95" s="533"/>
      <c r="K95" s="537"/>
      <c r="L95" s="537"/>
      <c r="M95" s="538">
        <f>L95-K95</f>
        <v>0</v>
      </c>
      <c r="N95" s="549" t="s">
        <v>18</v>
      </c>
      <c r="O95" s="550"/>
      <c r="P95" s="537">
        <f>(N93-O93)*P93</f>
        <v>10.755774625000001</v>
      </c>
      <c r="Q95" s="541" t="s">
        <v>163</v>
      </c>
      <c r="R95" s="542"/>
      <c r="S95" s="537"/>
      <c r="T95" s="538"/>
      <c r="U95" s="562"/>
      <c r="V95" s="544"/>
      <c r="W95" s="543"/>
      <c r="X95" s="492"/>
      <c r="Y95" s="492"/>
      <c r="Z95" s="492"/>
    </row>
    <row r="96" spans="1:26" ht="15.6" x14ac:dyDescent="0.3">
      <c r="A96" s="532"/>
      <c r="B96" s="535"/>
      <c r="C96" s="564"/>
      <c r="D96" s="535"/>
      <c r="E96" s="535"/>
      <c r="F96" s="535"/>
      <c r="G96" s="536"/>
      <c r="H96" s="535"/>
      <c r="I96" s="536"/>
      <c r="J96" s="533"/>
      <c r="K96" s="537"/>
      <c r="L96" s="537"/>
      <c r="M96" s="538"/>
      <c r="N96" s="533"/>
      <c r="O96" s="536"/>
      <c r="P96" s="537"/>
      <c r="Q96" s="541">
        <f>60*Q93/F92</f>
        <v>280.08595988538679</v>
      </c>
      <c r="R96" s="542"/>
      <c r="S96" s="537"/>
      <c r="T96" s="538"/>
      <c r="U96" s="562"/>
      <c r="V96" s="544"/>
      <c r="W96" s="543"/>
      <c r="X96" s="492"/>
      <c r="Y96" s="492"/>
      <c r="Z96" s="492"/>
    </row>
    <row r="97" spans="1:26" ht="15.6" x14ac:dyDescent="0.3">
      <c r="A97" s="570" t="s">
        <v>38</v>
      </c>
      <c r="B97" s="566" t="s">
        <v>96</v>
      </c>
      <c r="C97" s="571">
        <v>37498</v>
      </c>
      <c r="D97" s="566">
        <v>27</v>
      </c>
      <c r="E97" s="566">
        <v>225</v>
      </c>
      <c r="F97" s="566">
        <v>29.5</v>
      </c>
      <c r="G97" s="513" t="s">
        <v>64</v>
      </c>
      <c r="H97" s="523" t="s">
        <v>6</v>
      </c>
      <c r="I97" s="513" t="s">
        <v>5</v>
      </c>
      <c r="J97" s="553" t="s">
        <v>24</v>
      </c>
      <c r="K97" s="568">
        <v>19.61</v>
      </c>
      <c r="L97" s="568">
        <v>19.675000000000001</v>
      </c>
      <c r="M97" s="569">
        <f>L97-K97</f>
        <v>6.5000000000001279E-2</v>
      </c>
      <c r="N97" s="490" t="s">
        <v>164</v>
      </c>
      <c r="O97" s="490" t="s">
        <v>165</v>
      </c>
      <c r="P97" s="496" t="s">
        <v>166</v>
      </c>
      <c r="Q97" s="497" t="s">
        <v>167</v>
      </c>
      <c r="R97" s="526">
        <f>60*SUM(M97:M100)/F97</f>
        <v>0.68338983050847157</v>
      </c>
      <c r="S97" s="524">
        <f>100*SUM(M97:M100)/P100</f>
        <v>1.2009023494474955</v>
      </c>
      <c r="T97" s="527">
        <f>1000*SUM(M97:M100)/P100</f>
        <v>12.009023494474956</v>
      </c>
      <c r="U97" s="553" t="s">
        <v>43</v>
      </c>
      <c r="V97" s="554" t="s">
        <v>44</v>
      </c>
      <c r="W97" s="555" t="s">
        <v>42</v>
      </c>
      <c r="X97" s="492"/>
      <c r="Y97" s="492"/>
      <c r="Z97" s="492"/>
    </row>
    <row r="98" spans="1:26" ht="15.6" x14ac:dyDescent="0.3">
      <c r="A98" s="570"/>
      <c r="B98" s="566" t="s">
        <v>87</v>
      </c>
      <c r="C98" s="571"/>
      <c r="D98" s="566"/>
      <c r="E98" s="566"/>
      <c r="F98" s="566"/>
      <c r="G98" s="513" t="s">
        <v>65</v>
      </c>
      <c r="H98" s="523" t="s">
        <v>62</v>
      </c>
      <c r="I98" s="513" t="s">
        <v>114</v>
      </c>
      <c r="J98" s="553" t="s">
        <v>23</v>
      </c>
      <c r="K98" s="568">
        <v>21.114000000000001</v>
      </c>
      <c r="L98" s="568">
        <v>21.195</v>
      </c>
      <c r="M98" s="569">
        <f>L98-K98</f>
        <v>8.0999999999999517E-2</v>
      </c>
      <c r="N98" s="514">
        <v>175</v>
      </c>
      <c r="O98" s="513">
        <v>36.375</v>
      </c>
      <c r="P98" s="524">
        <v>0.20183200000000001</v>
      </c>
      <c r="Q98" s="556">
        <f>N98-O98</f>
        <v>138.625</v>
      </c>
      <c r="R98" s="526"/>
      <c r="S98" s="524"/>
      <c r="T98" s="527"/>
      <c r="U98" s="600"/>
      <c r="V98" s="557"/>
      <c r="W98" s="555"/>
      <c r="X98" s="492"/>
      <c r="Y98" s="492"/>
      <c r="Z98" s="492"/>
    </row>
    <row r="99" spans="1:26" ht="15.6" x14ac:dyDescent="0.3">
      <c r="A99" s="570"/>
      <c r="B99" s="566" t="s">
        <v>176</v>
      </c>
      <c r="C99" s="571"/>
      <c r="D99" s="566"/>
      <c r="E99" s="566"/>
      <c r="F99" s="566"/>
      <c r="G99" s="554"/>
      <c r="H99" s="523" t="s">
        <v>63</v>
      </c>
      <c r="I99" s="513"/>
      <c r="J99" s="553" t="s">
        <v>26</v>
      </c>
      <c r="K99" s="568">
        <v>20.866</v>
      </c>
      <c r="L99" s="568">
        <v>20.957999999999998</v>
      </c>
      <c r="M99" s="569">
        <f>L99-K99</f>
        <v>9.1999999999998749E-2</v>
      </c>
      <c r="N99" s="492"/>
      <c r="O99" s="492"/>
      <c r="P99" s="493"/>
      <c r="Q99" s="556"/>
      <c r="R99" s="526"/>
      <c r="S99" s="524"/>
      <c r="T99" s="527"/>
      <c r="U99" s="559" t="s">
        <v>173</v>
      </c>
      <c r="V99" s="560"/>
      <c r="W99" s="561"/>
      <c r="X99" s="492"/>
      <c r="Y99" s="492"/>
      <c r="Z99" s="492"/>
    </row>
    <row r="100" spans="1:26" ht="15.6" x14ac:dyDescent="0.3">
      <c r="A100" s="570"/>
      <c r="B100" s="566"/>
      <c r="C100" s="571"/>
      <c r="D100" s="566"/>
      <c r="E100" s="566"/>
      <c r="F100" s="566"/>
      <c r="G100" s="554"/>
      <c r="H100" s="523"/>
      <c r="I100" s="513"/>
      <c r="J100" s="553" t="s">
        <v>25</v>
      </c>
      <c r="K100" s="568">
        <v>19.420000000000002</v>
      </c>
      <c r="L100" s="568">
        <v>19.518000000000001</v>
      </c>
      <c r="M100" s="569">
        <f>L100-K100</f>
        <v>9.7999999999998977E-2</v>
      </c>
      <c r="N100" s="559" t="s">
        <v>18</v>
      </c>
      <c r="O100" s="560"/>
      <c r="P100" s="524">
        <f>(N98-O98)*P98</f>
        <v>27.978961000000002</v>
      </c>
      <c r="Q100" s="556" t="s">
        <v>163</v>
      </c>
      <c r="R100" s="526"/>
      <c r="S100" s="524"/>
      <c r="T100" s="527"/>
      <c r="U100" s="600"/>
      <c r="V100" s="557"/>
      <c r="W100" s="555"/>
      <c r="X100" s="492"/>
      <c r="Y100" s="492"/>
      <c r="Z100" s="492"/>
    </row>
    <row r="101" spans="1:26" ht="15.6" x14ac:dyDescent="0.3">
      <c r="A101" s="570"/>
      <c r="B101" s="566"/>
      <c r="C101" s="571"/>
      <c r="D101" s="566"/>
      <c r="E101" s="566"/>
      <c r="F101" s="566"/>
      <c r="G101" s="554"/>
      <c r="H101" s="523"/>
      <c r="I101" s="513"/>
      <c r="J101" s="553"/>
      <c r="K101" s="568"/>
      <c r="L101" s="568"/>
      <c r="M101" s="569"/>
      <c r="N101" s="514"/>
      <c r="O101" s="513"/>
      <c r="P101" s="524"/>
      <c r="Q101" s="556">
        <f>60*(N98-O98)/F97</f>
        <v>281.94915254237287</v>
      </c>
      <c r="R101" s="526"/>
      <c r="S101" s="524"/>
      <c r="T101" s="527"/>
      <c r="U101" s="600"/>
      <c r="V101" s="557"/>
      <c r="W101" s="555"/>
      <c r="X101" s="492"/>
      <c r="Y101" s="492"/>
      <c r="Z101" s="492"/>
    </row>
    <row r="102" spans="1:26" ht="15.6" x14ac:dyDescent="0.3">
      <c r="A102" s="532" t="s">
        <v>39</v>
      </c>
      <c r="B102" s="535" t="s">
        <v>96</v>
      </c>
      <c r="C102" s="564">
        <v>37502</v>
      </c>
      <c r="D102" s="535">
        <v>24</v>
      </c>
      <c r="E102" s="535">
        <v>225</v>
      </c>
      <c r="F102" s="535">
        <v>30.56</v>
      </c>
      <c r="G102" s="536" t="s">
        <v>64</v>
      </c>
      <c r="H102" s="535" t="s">
        <v>6</v>
      </c>
      <c r="I102" s="533" t="s">
        <v>5</v>
      </c>
      <c r="J102" s="533" t="s">
        <v>24</v>
      </c>
      <c r="K102" s="537">
        <v>19.143000000000001</v>
      </c>
      <c r="L102" s="537">
        <v>19.175999999999998</v>
      </c>
      <c r="M102" s="538">
        <f>L102-K102</f>
        <v>3.2999999999997698E-2</v>
      </c>
      <c r="N102" s="539" t="s">
        <v>164</v>
      </c>
      <c r="O102" s="539" t="s">
        <v>165</v>
      </c>
      <c r="P102" s="540" t="s">
        <v>166</v>
      </c>
      <c r="Q102" s="541" t="s">
        <v>167</v>
      </c>
      <c r="R102" s="542">
        <f>60*SUM(M102:M105)/F102</f>
        <v>0.42015706806282455</v>
      </c>
      <c r="S102" s="537">
        <f>100*SUM(M102:M105)/P105</f>
        <v>0.71160252622886644</v>
      </c>
      <c r="T102" s="538">
        <f>1000*SUM(M102:M105)/P105</f>
        <v>7.1160252622886642</v>
      </c>
      <c r="U102" s="533">
        <v>0.43</v>
      </c>
      <c r="V102" s="536">
        <v>0.67</v>
      </c>
      <c r="W102" s="543" t="s">
        <v>42</v>
      </c>
      <c r="X102" s="492"/>
      <c r="Y102" s="492"/>
      <c r="Z102" s="492"/>
    </row>
    <row r="103" spans="1:26" ht="15.6" x14ac:dyDescent="0.3">
      <c r="A103" s="532"/>
      <c r="B103" s="535" t="s">
        <v>87</v>
      </c>
      <c r="C103" s="564"/>
      <c r="D103" s="535"/>
      <c r="E103" s="535"/>
      <c r="F103" s="535"/>
      <c r="G103" s="536" t="s">
        <v>65</v>
      </c>
      <c r="H103" s="535" t="s">
        <v>62</v>
      </c>
      <c r="I103" s="533" t="s">
        <v>114</v>
      </c>
      <c r="J103" s="533" t="s">
        <v>23</v>
      </c>
      <c r="K103" s="537">
        <v>19.074999999999999</v>
      </c>
      <c r="L103" s="537">
        <v>19.138000000000002</v>
      </c>
      <c r="M103" s="538">
        <f>L103-K103</f>
        <v>6.3000000000002387E-2</v>
      </c>
      <c r="N103" s="533">
        <v>175</v>
      </c>
      <c r="O103" s="536">
        <v>26</v>
      </c>
      <c r="P103" s="537">
        <v>0.20183200000000001</v>
      </c>
      <c r="Q103" s="541">
        <f>N103-O103</f>
        <v>149</v>
      </c>
      <c r="R103" s="542"/>
      <c r="S103" s="537"/>
      <c r="T103" s="538"/>
      <c r="U103" s="562"/>
      <c r="V103" s="544"/>
      <c r="W103" s="543"/>
      <c r="X103" s="492"/>
      <c r="Y103" s="492"/>
      <c r="Z103" s="492"/>
    </row>
    <row r="104" spans="1:26" ht="15.6" x14ac:dyDescent="0.3">
      <c r="A104" s="532"/>
      <c r="B104" s="535" t="s">
        <v>176</v>
      </c>
      <c r="C104" s="564"/>
      <c r="D104" s="535"/>
      <c r="E104" s="535"/>
      <c r="F104" s="535"/>
      <c r="G104" s="536"/>
      <c r="H104" s="535" t="s">
        <v>63</v>
      </c>
      <c r="I104" s="533"/>
      <c r="J104" s="533" t="s">
        <v>26</v>
      </c>
      <c r="K104" s="537">
        <v>19.776</v>
      </c>
      <c r="L104" s="537">
        <v>19.843</v>
      </c>
      <c r="M104" s="538">
        <f>L104-K104</f>
        <v>6.7000000000000171E-2</v>
      </c>
      <c r="N104" s="546"/>
      <c r="O104" s="546"/>
      <c r="P104" s="547"/>
      <c r="Q104" s="548"/>
      <c r="R104" s="542"/>
      <c r="S104" s="537"/>
      <c r="T104" s="538"/>
      <c r="U104" s="549" t="s">
        <v>173</v>
      </c>
      <c r="V104" s="550"/>
      <c r="W104" s="551"/>
      <c r="X104" s="492"/>
      <c r="Y104" s="492"/>
      <c r="Z104" s="492"/>
    </row>
    <row r="105" spans="1:26" ht="15.6" x14ac:dyDescent="0.3">
      <c r="A105" s="532"/>
      <c r="B105" s="535"/>
      <c r="C105" s="564"/>
      <c r="D105" s="535"/>
      <c r="E105" s="535"/>
      <c r="F105" s="535"/>
      <c r="G105" s="536"/>
      <c r="H105" s="535"/>
      <c r="I105" s="533"/>
      <c r="J105" s="533" t="s">
        <v>25</v>
      </c>
      <c r="K105" s="537">
        <v>21.225000000000001</v>
      </c>
      <c r="L105" s="537">
        <v>21.276</v>
      </c>
      <c r="M105" s="538">
        <f>L105-K105</f>
        <v>5.099999999999838E-2</v>
      </c>
      <c r="N105" s="549" t="s">
        <v>18</v>
      </c>
      <c r="O105" s="550"/>
      <c r="P105" s="537">
        <f>(N103-O103)*P103</f>
        <v>30.072968000000003</v>
      </c>
      <c r="Q105" s="541" t="s">
        <v>163</v>
      </c>
      <c r="R105" s="542"/>
      <c r="S105" s="537"/>
      <c r="T105" s="538"/>
      <c r="U105" s="562"/>
      <c r="V105" s="544"/>
      <c r="W105" s="543"/>
      <c r="X105" s="492"/>
      <c r="Y105" s="492"/>
      <c r="Z105" s="492"/>
    </row>
    <row r="106" spans="1:26" ht="15.6" x14ac:dyDescent="0.3">
      <c r="A106" s="532"/>
      <c r="B106" s="535"/>
      <c r="C106" s="564"/>
      <c r="D106" s="535"/>
      <c r="E106" s="535"/>
      <c r="F106" s="535"/>
      <c r="G106" s="536"/>
      <c r="H106" s="535"/>
      <c r="I106" s="533"/>
      <c r="J106" s="533"/>
      <c r="K106" s="537"/>
      <c r="L106" s="537"/>
      <c r="M106" s="538"/>
      <c r="N106" s="533"/>
      <c r="O106" s="536"/>
      <c r="P106" s="537"/>
      <c r="Q106" s="541">
        <f>60*Q103/F102</f>
        <v>292.5392670157068</v>
      </c>
      <c r="R106" s="537"/>
      <c r="S106" s="537"/>
      <c r="T106" s="538"/>
      <c r="U106" s="562"/>
      <c r="V106" s="544"/>
      <c r="W106" s="543"/>
      <c r="X106" s="492"/>
      <c r="Y106" s="492"/>
      <c r="Z106" s="492"/>
    </row>
    <row r="107" spans="1:26" ht="15.6" x14ac:dyDescent="0.3">
      <c r="A107" s="570" t="s">
        <v>40</v>
      </c>
      <c r="B107" s="566" t="s">
        <v>96</v>
      </c>
      <c r="C107" s="571">
        <v>37502</v>
      </c>
      <c r="D107" s="566">
        <v>24</v>
      </c>
      <c r="E107" s="566">
        <v>210</v>
      </c>
      <c r="F107" s="566">
        <v>30.6</v>
      </c>
      <c r="G107" s="513" t="s">
        <v>64</v>
      </c>
      <c r="H107" s="523" t="s">
        <v>6</v>
      </c>
      <c r="I107" s="514" t="s">
        <v>5</v>
      </c>
      <c r="J107" s="553" t="s">
        <v>24</v>
      </c>
      <c r="K107" s="568">
        <v>20.443999999999999</v>
      </c>
      <c r="L107" s="568">
        <v>20.501999999999999</v>
      </c>
      <c r="M107" s="569">
        <f>L107-K107</f>
        <v>5.7999999999999829E-2</v>
      </c>
      <c r="N107" s="490" t="s">
        <v>164</v>
      </c>
      <c r="O107" s="490" t="s">
        <v>165</v>
      </c>
      <c r="P107" s="496" t="s">
        <v>166</v>
      </c>
      <c r="Q107" s="529" t="s">
        <v>167</v>
      </c>
      <c r="R107" s="568">
        <f>60*SUM(M107:M110)/F107</f>
        <v>0.42352941176470799</v>
      </c>
      <c r="S107" s="568">
        <f>100*SUM(M107:M110)/P110</f>
        <v>0.66940785308617745</v>
      </c>
      <c r="T107" s="569">
        <f>1000*SUM(M107:M110)/P110</f>
        <v>6.6940785308617743</v>
      </c>
      <c r="U107" s="553">
        <v>0.43</v>
      </c>
      <c r="V107" s="554">
        <v>0.67</v>
      </c>
      <c r="W107" s="555" t="s">
        <v>42</v>
      </c>
      <c r="X107" s="492"/>
      <c r="Y107" s="492"/>
      <c r="Z107" s="492"/>
    </row>
    <row r="108" spans="1:26" ht="15.6" x14ac:dyDescent="0.3">
      <c r="A108" s="570"/>
      <c r="B108" s="566" t="s">
        <v>87</v>
      </c>
      <c r="C108" s="571"/>
      <c r="D108" s="566"/>
      <c r="E108" s="566"/>
      <c r="F108" s="566"/>
      <c r="G108" s="513" t="s">
        <v>65</v>
      </c>
      <c r="H108" s="523" t="s">
        <v>62</v>
      </c>
      <c r="I108" s="514" t="s">
        <v>114</v>
      </c>
      <c r="J108" s="553" t="s">
        <v>23</v>
      </c>
      <c r="K108" s="568">
        <v>20.21</v>
      </c>
      <c r="L108" s="568">
        <v>20.256</v>
      </c>
      <c r="M108" s="569">
        <f>L108-K108</f>
        <v>4.5999999999999375E-2</v>
      </c>
      <c r="N108" s="514">
        <v>175</v>
      </c>
      <c r="O108" s="513">
        <v>28.375</v>
      </c>
      <c r="P108" s="568">
        <v>0.22006700000000001</v>
      </c>
      <c r="Q108" s="556">
        <f>N108-O108</f>
        <v>146.625</v>
      </c>
      <c r="R108" s="572"/>
      <c r="S108" s="568"/>
      <c r="T108" s="569"/>
      <c r="U108" s="600"/>
      <c r="V108" s="557"/>
      <c r="W108" s="555"/>
      <c r="X108" s="492"/>
      <c r="Y108" s="492"/>
      <c r="Z108" s="492"/>
    </row>
    <row r="109" spans="1:26" ht="15.6" x14ac:dyDescent="0.3">
      <c r="A109" s="570"/>
      <c r="B109" s="566" t="s">
        <v>176</v>
      </c>
      <c r="C109" s="571"/>
      <c r="D109" s="566"/>
      <c r="E109" s="566"/>
      <c r="F109" s="566"/>
      <c r="G109" s="554"/>
      <c r="H109" s="523" t="s">
        <v>63</v>
      </c>
      <c r="I109" s="513"/>
      <c r="J109" s="553" t="s">
        <v>26</v>
      </c>
      <c r="K109" s="568">
        <v>20.11</v>
      </c>
      <c r="L109" s="568">
        <v>20.166</v>
      </c>
      <c r="M109" s="569">
        <f>L109-K109</f>
        <v>5.6000000000000938E-2</v>
      </c>
      <c r="N109" s="492"/>
      <c r="O109" s="492"/>
      <c r="P109" s="493"/>
      <c r="Q109" s="556"/>
      <c r="R109" s="572"/>
      <c r="S109" s="568"/>
      <c r="T109" s="569"/>
      <c r="U109" s="559" t="s">
        <v>173</v>
      </c>
      <c r="V109" s="560"/>
      <c r="W109" s="561"/>
      <c r="X109" s="492"/>
      <c r="Y109" s="492"/>
      <c r="Z109" s="492"/>
    </row>
    <row r="110" spans="1:26" ht="15.6" x14ac:dyDescent="0.3">
      <c r="A110" s="565"/>
      <c r="B110" s="554"/>
      <c r="C110" s="601"/>
      <c r="D110" s="566"/>
      <c r="E110" s="554"/>
      <c r="F110" s="566"/>
      <c r="G110" s="554"/>
      <c r="H110" s="523"/>
      <c r="I110" s="513"/>
      <c r="J110" s="553" t="s">
        <v>25</v>
      </c>
      <c r="K110" s="568">
        <v>20.367999999999999</v>
      </c>
      <c r="L110" s="568">
        <v>20.423999999999999</v>
      </c>
      <c r="M110" s="554">
        <f>L110-K110</f>
        <v>5.6000000000000938E-2</v>
      </c>
      <c r="N110" s="559" t="s">
        <v>18</v>
      </c>
      <c r="O110" s="560"/>
      <c r="P110" s="524">
        <f>(N108-O108)*P108</f>
        <v>32.267323875000002</v>
      </c>
      <c r="Q110" s="556" t="s">
        <v>163</v>
      </c>
      <c r="R110" s="572"/>
      <c r="S110" s="568"/>
      <c r="T110" s="569"/>
      <c r="U110" s="600"/>
      <c r="V110" s="557"/>
      <c r="W110" s="555"/>
      <c r="X110" s="492"/>
      <c r="Y110" s="492"/>
      <c r="Z110" s="492"/>
    </row>
    <row r="111" spans="1:26" ht="15.6" x14ac:dyDescent="0.3">
      <c r="A111" s="565"/>
      <c r="B111" s="554"/>
      <c r="C111" s="601"/>
      <c r="D111" s="566"/>
      <c r="E111" s="554"/>
      <c r="F111" s="566"/>
      <c r="G111" s="554"/>
      <c r="H111" s="523"/>
      <c r="I111" s="513"/>
      <c r="J111" s="553"/>
      <c r="K111" s="568"/>
      <c r="L111" s="568"/>
      <c r="M111" s="554"/>
      <c r="N111" s="514"/>
      <c r="O111" s="513"/>
      <c r="P111" s="524"/>
      <c r="Q111" s="599">
        <f>60*(N108-O108)/F107</f>
        <v>287.5</v>
      </c>
      <c r="R111" s="572"/>
      <c r="S111" s="568"/>
      <c r="T111" s="554"/>
      <c r="U111" s="600"/>
      <c r="V111" s="557"/>
      <c r="W111" s="555"/>
      <c r="X111" s="492"/>
      <c r="Y111" s="492"/>
      <c r="Z111" s="492"/>
    </row>
    <row r="112" spans="1:26" ht="15.6" x14ac:dyDescent="0.3">
      <c r="A112" s="602" t="s">
        <v>45</v>
      </c>
      <c r="B112" s="536" t="s">
        <v>95</v>
      </c>
      <c r="C112" s="534">
        <v>37505</v>
      </c>
      <c r="D112" s="535">
        <v>24</v>
      </c>
      <c r="E112" s="536">
        <v>225</v>
      </c>
      <c r="F112" s="535">
        <v>10.47</v>
      </c>
      <c r="G112" s="536" t="s">
        <v>66</v>
      </c>
      <c r="H112" s="535" t="s">
        <v>61</v>
      </c>
      <c r="I112" s="536" t="s">
        <v>115</v>
      </c>
      <c r="J112" s="533" t="s">
        <v>8</v>
      </c>
      <c r="K112" s="537">
        <v>23.315999999999999</v>
      </c>
      <c r="L112" s="537">
        <v>23.402999999999999</v>
      </c>
      <c r="M112" s="536">
        <f>L112-K112</f>
        <v>8.6999999999999744E-2</v>
      </c>
      <c r="N112" s="533" t="s">
        <v>164</v>
      </c>
      <c r="O112" s="536" t="s">
        <v>165</v>
      </c>
      <c r="P112" s="540" t="s">
        <v>166</v>
      </c>
      <c r="Q112" s="541" t="s">
        <v>167</v>
      </c>
      <c r="R112" s="542">
        <f>60*SUM(M112:M115)/F112</f>
        <v>0.49856733524355151</v>
      </c>
      <c r="S112" s="537">
        <f>100*SUM(M112:M115)/P115</f>
        <v>0.88590285319142237</v>
      </c>
      <c r="T112" s="538">
        <f>1000*SUM(M112:M115)/P115</f>
        <v>8.8590285319142232</v>
      </c>
      <c r="U112" s="533" t="s">
        <v>42</v>
      </c>
      <c r="V112" s="536" t="s">
        <v>42</v>
      </c>
      <c r="W112" s="543">
        <v>4.8</v>
      </c>
      <c r="X112" s="492"/>
      <c r="Y112" s="492"/>
      <c r="Z112" s="492"/>
    </row>
    <row r="113" spans="1:26" ht="15.6" x14ac:dyDescent="0.3">
      <c r="A113" s="602"/>
      <c r="B113" s="536" t="s">
        <v>85</v>
      </c>
      <c r="C113" s="534"/>
      <c r="D113" s="535"/>
      <c r="E113" s="536"/>
      <c r="F113" s="535"/>
      <c r="G113" s="536" t="s">
        <v>65</v>
      </c>
      <c r="H113" s="535">
        <v>304</v>
      </c>
      <c r="I113" s="536" t="s">
        <v>127</v>
      </c>
      <c r="J113" s="533"/>
      <c r="K113" s="537"/>
      <c r="L113" s="537"/>
      <c r="M113" s="536">
        <f>L113-K113</f>
        <v>0</v>
      </c>
      <c r="N113" s="533">
        <v>70</v>
      </c>
      <c r="O113" s="536">
        <v>25.375</v>
      </c>
      <c r="P113" s="537">
        <v>0.22006700000000001</v>
      </c>
      <c r="Q113" s="541">
        <f>N113-O113</f>
        <v>44.625</v>
      </c>
      <c r="R113" s="542"/>
      <c r="S113" s="537"/>
      <c r="T113" s="538"/>
      <c r="U113" s="562"/>
      <c r="V113" s="544"/>
      <c r="W113" s="543"/>
      <c r="X113" s="492"/>
      <c r="Y113" s="492"/>
      <c r="Z113" s="492"/>
    </row>
    <row r="114" spans="1:26" ht="15.6" x14ac:dyDescent="0.3">
      <c r="A114" s="602"/>
      <c r="B114" s="536" t="s">
        <v>47</v>
      </c>
      <c r="C114" s="534"/>
      <c r="D114" s="535"/>
      <c r="E114" s="536"/>
      <c r="F114" s="535"/>
      <c r="G114" s="536"/>
      <c r="H114" s="535"/>
      <c r="I114" s="536"/>
      <c r="J114" s="533"/>
      <c r="K114" s="537"/>
      <c r="L114" s="537"/>
      <c r="M114" s="536">
        <f>L114-K114</f>
        <v>0</v>
      </c>
      <c r="N114" s="562"/>
      <c r="O114" s="544"/>
      <c r="P114" s="547"/>
      <c r="Q114" s="548"/>
      <c r="R114" s="542"/>
      <c r="S114" s="537"/>
      <c r="T114" s="538"/>
      <c r="U114" s="549" t="s">
        <v>175</v>
      </c>
      <c r="V114" s="550"/>
      <c r="W114" s="551"/>
      <c r="X114" s="492"/>
      <c r="Y114" s="492"/>
      <c r="Z114" s="492"/>
    </row>
    <row r="115" spans="1:26" ht="15.6" x14ac:dyDescent="0.3">
      <c r="A115" s="602"/>
      <c r="B115" s="536"/>
      <c r="C115" s="534"/>
      <c r="D115" s="535"/>
      <c r="E115" s="536"/>
      <c r="F115" s="535"/>
      <c r="G115" s="536"/>
      <c r="H115" s="535"/>
      <c r="I115" s="536"/>
      <c r="J115" s="533"/>
      <c r="K115" s="537"/>
      <c r="L115" s="537"/>
      <c r="M115" s="536">
        <f>L115-K115</f>
        <v>0</v>
      </c>
      <c r="N115" s="549" t="s">
        <v>18</v>
      </c>
      <c r="O115" s="550"/>
      <c r="P115" s="537">
        <f>(N113-O113)*P113</f>
        <v>9.8204898749999998</v>
      </c>
      <c r="Q115" s="541" t="s">
        <v>163</v>
      </c>
      <c r="R115" s="542"/>
      <c r="S115" s="537"/>
      <c r="T115" s="538"/>
      <c r="U115" s="562"/>
      <c r="V115" s="544"/>
      <c r="W115" s="543"/>
      <c r="X115" s="492"/>
      <c r="Y115" s="492"/>
      <c r="Z115" s="492"/>
    </row>
    <row r="116" spans="1:26" ht="15.6" x14ac:dyDescent="0.3">
      <c r="A116" s="602"/>
      <c r="B116" s="536"/>
      <c r="C116" s="534"/>
      <c r="D116" s="535"/>
      <c r="E116" s="536"/>
      <c r="F116" s="535"/>
      <c r="G116" s="536"/>
      <c r="H116" s="535"/>
      <c r="I116" s="536"/>
      <c r="J116" s="533"/>
      <c r="K116" s="537"/>
      <c r="L116" s="537"/>
      <c r="M116" s="536"/>
      <c r="N116" s="533"/>
      <c r="O116" s="536"/>
      <c r="P116" s="537"/>
      <c r="Q116" s="541">
        <f>60*Q113/F112</f>
        <v>255.73065902578796</v>
      </c>
      <c r="R116" s="537"/>
      <c r="S116" s="537"/>
      <c r="T116" s="538"/>
      <c r="U116" s="562"/>
      <c r="V116" s="544"/>
      <c r="W116" s="543"/>
      <c r="X116" s="492"/>
      <c r="Y116" s="492"/>
      <c r="Z116" s="492"/>
    </row>
    <row r="117" spans="1:26" ht="15.6" x14ac:dyDescent="0.3">
      <c r="A117" s="565" t="s">
        <v>46</v>
      </c>
      <c r="B117" s="554" t="s">
        <v>95</v>
      </c>
      <c r="C117" s="601">
        <v>37505</v>
      </c>
      <c r="D117" s="566">
        <v>24</v>
      </c>
      <c r="E117" s="554">
        <v>210</v>
      </c>
      <c r="F117" s="566">
        <v>10.31</v>
      </c>
      <c r="G117" s="513" t="s">
        <v>66</v>
      </c>
      <c r="H117" s="523" t="s">
        <v>61</v>
      </c>
      <c r="I117" s="513" t="s">
        <v>115</v>
      </c>
      <c r="J117" s="553" t="s">
        <v>8</v>
      </c>
      <c r="K117" s="568">
        <v>20.399999999999999</v>
      </c>
      <c r="L117" s="568">
        <v>20.495000000000001</v>
      </c>
      <c r="M117" s="554">
        <f>L117-K117</f>
        <v>9.5000000000002416E-2</v>
      </c>
      <c r="N117" s="514" t="s">
        <v>164</v>
      </c>
      <c r="O117" s="513" t="s">
        <v>165</v>
      </c>
      <c r="P117" s="496" t="s">
        <v>166</v>
      </c>
      <c r="Q117" s="529" t="s">
        <v>167</v>
      </c>
      <c r="R117" s="568">
        <f>60*SUM(M117:M120)/F117</f>
        <v>0.55286129970903441</v>
      </c>
      <c r="S117" s="568">
        <f>100*SUM(M117:M120)/P120</f>
        <v>1.1360176673467914</v>
      </c>
      <c r="T117" s="569">
        <f>1000*SUM(M117:M120)/P120</f>
        <v>11.360176673467915</v>
      </c>
      <c r="U117" s="553" t="s">
        <v>42</v>
      </c>
      <c r="V117" s="554" t="s">
        <v>42</v>
      </c>
      <c r="W117" s="555">
        <v>4.8</v>
      </c>
      <c r="X117" s="492"/>
      <c r="Y117" s="492"/>
      <c r="Z117" s="492"/>
    </row>
    <row r="118" spans="1:26" ht="15.6" x14ac:dyDescent="0.3">
      <c r="A118" s="565"/>
      <c r="B118" s="554" t="s">
        <v>85</v>
      </c>
      <c r="C118" s="601"/>
      <c r="D118" s="566"/>
      <c r="E118" s="554"/>
      <c r="F118" s="566"/>
      <c r="G118" s="513" t="s">
        <v>65</v>
      </c>
      <c r="H118" s="523">
        <v>304</v>
      </c>
      <c r="I118" s="513" t="s">
        <v>127</v>
      </c>
      <c r="J118" s="553"/>
      <c r="K118" s="568"/>
      <c r="L118" s="568"/>
      <c r="M118" s="554">
        <f>L118-K118</f>
        <v>0</v>
      </c>
      <c r="N118" s="514">
        <v>59.75</v>
      </c>
      <c r="O118" s="513">
        <v>21.75</v>
      </c>
      <c r="P118" s="568">
        <v>0.22006700000000001</v>
      </c>
      <c r="Q118" s="556">
        <f>N118-O118</f>
        <v>38</v>
      </c>
      <c r="R118" s="572"/>
      <c r="S118" s="568"/>
      <c r="T118" s="569"/>
      <c r="U118" s="600"/>
      <c r="V118" s="557"/>
      <c r="W118" s="555"/>
      <c r="X118" s="492"/>
      <c r="Y118" s="492"/>
      <c r="Z118" s="492"/>
    </row>
    <row r="119" spans="1:26" ht="15.6" x14ac:dyDescent="0.3">
      <c r="A119" s="565"/>
      <c r="B119" s="554" t="s">
        <v>48</v>
      </c>
      <c r="C119" s="601"/>
      <c r="D119" s="566"/>
      <c r="E119" s="554"/>
      <c r="F119" s="566"/>
      <c r="G119" s="554"/>
      <c r="H119" s="523"/>
      <c r="I119" s="513"/>
      <c r="J119" s="553"/>
      <c r="K119" s="568"/>
      <c r="L119" s="568"/>
      <c r="M119" s="554">
        <f>L119-K119</f>
        <v>0</v>
      </c>
      <c r="N119" s="563"/>
      <c r="O119" s="530"/>
      <c r="P119" s="493"/>
      <c r="Q119" s="556"/>
      <c r="R119" s="572"/>
      <c r="S119" s="568"/>
      <c r="T119" s="569"/>
      <c r="U119" s="573" t="s">
        <v>175</v>
      </c>
      <c r="V119" s="574"/>
      <c r="W119" s="575"/>
      <c r="X119" s="492"/>
      <c r="Y119" s="492"/>
      <c r="Z119" s="492"/>
    </row>
    <row r="120" spans="1:26" ht="15.6" x14ac:dyDescent="0.3">
      <c r="A120" s="565"/>
      <c r="B120" s="554"/>
      <c r="C120" s="601"/>
      <c r="D120" s="566"/>
      <c r="E120" s="554"/>
      <c r="F120" s="566"/>
      <c r="G120" s="554"/>
      <c r="H120" s="523"/>
      <c r="I120" s="513"/>
      <c r="J120" s="553"/>
      <c r="K120" s="568"/>
      <c r="L120" s="568"/>
      <c r="M120" s="568">
        <f>L120-K120</f>
        <v>0</v>
      </c>
      <c r="N120" s="559" t="s">
        <v>18</v>
      </c>
      <c r="O120" s="560"/>
      <c r="P120" s="524">
        <f>(N118-O118)*P118</f>
        <v>8.362546</v>
      </c>
      <c r="Q120" s="556" t="s">
        <v>163</v>
      </c>
      <c r="R120" s="572"/>
      <c r="S120" s="568"/>
      <c r="T120" s="569"/>
      <c r="U120" s="600"/>
      <c r="V120" s="557"/>
      <c r="W120" s="555"/>
      <c r="X120" s="492"/>
      <c r="Y120" s="492"/>
      <c r="Z120" s="492"/>
    </row>
    <row r="121" spans="1:26" ht="16.2" thickBot="1" x14ac:dyDescent="0.35">
      <c r="A121" s="603"/>
      <c r="B121" s="589"/>
      <c r="C121" s="604"/>
      <c r="D121" s="578"/>
      <c r="E121" s="589"/>
      <c r="F121" s="578"/>
      <c r="G121" s="589"/>
      <c r="H121" s="605"/>
      <c r="I121" s="580"/>
      <c r="J121" s="582"/>
      <c r="K121" s="583"/>
      <c r="L121" s="583"/>
      <c r="M121" s="606"/>
      <c r="N121" s="581"/>
      <c r="O121" s="580"/>
      <c r="P121" s="585"/>
      <c r="Q121" s="607">
        <f>60*(N118-O118)/F117</f>
        <v>221.14451988360813</v>
      </c>
      <c r="R121" s="587"/>
      <c r="S121" s="583"/>
      <c r="T121" s="588"/>
      <c r="U121" s="608"/>
      <c r="V121" s="609"/>
      <c r="W121" s="590"/>
      <c r="X121" s="492"/>
      <c r="Y121" s="492"/>
      <c r="Z121" s="492"/>
    </row>
    <row r="122" spans="1:26" ht="15.6" x14ac:dyDescent="0.3">
      <c r="A122" s="554"/>
      <c r="B122" s="554"/>
      <c r="C122" s="567"/>
      <c r="D122" s="554"/>
      <c r="E122" s="554"/>
      <c r="F122" s="554"/>
      <c r="G122" s="554"/>
      <c r="H122" s="490"/>
      <c r="I122" s="490"/>
      <c r="J122" s="554"/>
      <c r="K122" s="568"/>
      <c r="L122" s="568"/>
      <c r="M122" s="554"/>
      <c r="N122" s="554"/>
      <c r="O122" s="554"/>
      <c r="P122" s="568"/>
      <c r="Q122" s="599"/>
      <c r="R122" s="568"/>
      <c r="S122" s="568"/>
      <c r="T122" s="554"/>
      <c r="U122" s="557"/>
      <c r="V122" s="557"/>
      <c r="W122" s="554"/>
      <c r="X122" s="492"/>
      <c r="Y122" s="492"/>
      <c r="Z122" s="492"/>
    </row>
    <row r="123" spans="1:26" ht="15.6" x14ac:dyDescent="0.3">
      <c r="A123" s="490"/>
      <c r="B123" s="490"/>
      <c r="C123" s="495"/>
      <c r="D123" s="490"/>
      <c r="E123" s="490"/>
      <c r="F123" s="490"/>
      <c r="G123" s="490"/>
      <c r="H123" s="490"/>
      <c r="I123" s="490"/>
      <c r="J123" s="490"/>
      <c r="K123" s="496"/>
      <c r="L123" s="496"/>
      <c r="M123" s="591"/>
      <c r="N123" s="490"/>
      <c r="O123" s="490"/>
      <c r="P123" s="496"/>
      <c r="Q123" s="497"/>
      <c r="R123" s="496"/>
      <c r="S123" s="496"/>
      <c r="T123" s="490"/>
      <c r="U123" s="492"/>
      <c r="V123" s="492"/>
      <c r="W123" s="492"/>
      <c r="X123" s="492"/>
      <c r="Y123" s="492"/>
      <c r="Z123" s="492"/>
    </row>
    <row r="124" spans="1:26" ht="15.6" x14ac:dyDescent="0.3">
      <c r="A124" s="596" t="s">
        <v>89</v>
      </c>
      <c r="B124" s="490"/>
      <c r="C124" s="495"/>
      <c r="D124" s="490"/>
      <c r="E124" s="490"/>
      <c r="F124" s="490"/>
      <c r="G124" s="490"/>
      <c r="H124" s="490"/>
      <c r="I124" s="490"/>
      <c r="J124" s="490"/>
      <c r="K124" s="496"/>
      <c r="L124" s="496"/>
      <c r="M124" s="591"/>
      <c r="N124" s="490"/>
      <c r="O124" s="490"/>
      <c r="P124" s="496"/>
      <c r="Q124" s="497"/>
      <c r="R124" s="496"/>
      <c r="S124" s="496"/>
      <c r="T124" s="490"/>
      <c r="U124" s="492"/>
      <c r="V124" s="492"/>
      <c r="W124" s="492"/>
      <c r="X124" s="492"/>
      <c r="Y124" s="492"/>
      <c r="Z124" s="492"/>
    </row>
    <row r="125" spans="1:26" ht="15.6" x14ac:dyDescent="0.3">
      <c r="A125" s="596" t="s">
        <v>90</v>
      </c>
      <c r="B125" s="490"/>
      <c r="C125" s="495"/>
      <c r="D125" s="490"/>
      <c r="E125" s="490"/>
      <c r="F125" s="490"/>
      <c r="G125" s="490"/>
      <c r="H125" s="490"/>
      <c r="I125" s="490"/>
      <c r="J125" s="490"/>
      <c r="K125" s="496"/>
      <c r="L125" s="496"/>
      <c r="M125" s="591"/>
      <c r="N125" s="490"/>
      <c r="O125" s="490"/>
      <c r="P125" s="496"/>
      <c r="Q125" s="497"/>
      <c r="R125" s="496"/>
      <c r="S125" s="496"/>
      <c r="T125" s="490"/>
      <c r="U125" s="492"/>
      <c r="V125" s="492"/>
      <c r="W125" s="492"/>
      <c r="X125" s="492"/>
      <c r="Y125" s="492"/>
      <c r="Z125" s="492"/>
    </row>
    <row r="126" spans="1:26" ht="15.6" x14ac:dyDescent="0.3">
      <c r="A126" s="596" t="s">
        <v>91</v>
      </c>
      <c r="B126" s="490"/>
      <c r="C126" s="495"/>
      <c r="D126" s="490"/>
      <c r="E126" s="490"/>
      <c r="F126" s="490"/>
      <c r="G126" s="490"/>
      <c r="H126" s="490"/>
      <c r="I126" s="490"/>
      <c r="J126" s="490"/>
      <c r="K126" s="496"/>
      <c r="L126" s="496"/>
      <c r="M126" s="490"/>
      <c r="N126" s="490"/>
      <c r="O126" s="490"/>
      <c r="P126" s="496"/>
      <c r="Q126" s="497"/>
      <c r="R126" s="496"/>
      <c r="S126" s="496"/>
      <c r="T126" s="490"/>
      <c r="U126" s="492"/>
      <c r="V126" s="492"/>
      <c r="W126" s="492"/>
      <c r="X126" s="492"/>
      <c r="Y126" s="492"/>
      <c r="Z126" s="492"/>
    </row>
    <row r="127" spans="1:26" ht="15.6" x14ac:dyDescent="0.3">
      <c r="A127" s="490"/>
      <c r="B127" s="490"/>
      <c r="C127" s="495"/>
      <c r="D127" s="490"/>
      <c r="E127" s="490"/>
      <c r="F127" s="490"/>
      <c r="G127" s="490"/>
      <c r="H127" s="490"/>
      <c r="I127" s="490"/>
      <c r="J127" s="490"/>
      <c r="K127" s="496"/>
      <c r="L127" s="496"/>
      <c r="M127" s="490"/>
      <c r="N127" s="490"/>
      <c r="O127" s="490"/>
      <c r="P127" s="496"/>
      <c r="Q127" s="497"/>
      <c r="R127" s="496"/>
      <c r="S127" s="496"/>
      <c r="T127" s="490"/>
      <c r="U127" s="492"/>
      <c r="V127" s="492"/>
      <c r="W127" s="492"/>
      <c r="X127" s="492"/>
      <c r="Y127" s="492"/>
      <c r="Z127" s="492"/>
    </row>
    <row r="128" spans="1:26" ht="15.6" x14ac:dyDescent="0.3">
      <c r="A128" s="490"/>
      <c r="B128" s="490"/>
      <c r="C128" s="495"/>
      <c r="D128" s="490"/>
      <c r="E128" s="490"/>
      <c r="F128" s="490"/>
      <c r="G128" s="490"/>
      <c r="H128" s="490"/>
      <c r="I128" s="490"/>
      <c r="J128" s="490"/>
      <c r="K128" s="496"/>
      <c r="L128" s="496"/>
      <c r="M128" s="490"/>
      <c r="N128" s="490"/>
      <c r="O128" s="490"/>
      <c r="P128" s="496"/>
      <c r="Q128" s="497"/>
      <c r="R128" s="496"/>
      <c r="S128" s="496"/>
      <c r="T128" s="490"/>
      <c r="U128" s="492"/>
      <c r="V128" s="492"/>
      <c r="W128" s="492"/>
      <c r="X128" s="492"/>
      <c r="Y128" s="492"/>
      <c r="Z128" s="492"/>
    </row>
    <row r="129" spans="1:26" ht="15.6" x14ac:dyDescent="0.3">
      <c r="A129" s="489" t="s">
        <v>129</v>
      </c>
      <c r="B129" s="591"/>
      <c r="C129" s="592"/>
      <c r="D129" s="591"/>
      <c r="E129" s="591"/>
      <c r="F129" s="591"/>
      <c r="G129" s="591"/>
      <c r="H129" s="490"/>
      <c r="I129" s="490"/>
      <c r="J129" s="591"/>
      <c r="K129" s="593"/>
      <c r="L129" s="593"/>
      <c r="M129" s="591"/>
      <c r="N129" s="591"/>
      <c r="O129" s="591"/>
      <c r="P129" s="593"/>
      <c r="Q129" s="594"/>
      <c r="R129" s="593"/>
      <c r="S129" s="593"/>
      <c r="T129" s="591"/>
      <c r="U129" s="492"/>
      <c r="V129" s="492"/>
      <c r="W129" s="492"/>
      <c r="X129" s="492"/>
      <c r="Y129" s="492"/>
      <c r="Z129" s="492"/>
    </row>
    <row r="130" spans="1:26" ht="15.6" x14ac:dyDescent="0.3">
      <c r="A130" s="490"/>
      <c r="B130" s="591"/>
      <c r="C130" s="592"/>
      <c r="D130" s="591"/>
      <c r="E130" s="591"/>
      <c r="F130" s="591"/>
      <c r="G130" s="591"/>
      <c r="H130" s="490"/>
      <c r="I130" s="490"/>
      <c r="J130" s="591"/>
      <c r="K130" s="593"/>
      <c r="L130" s="593"/>
      <c r="M130" s="591"/>
      <c r="N130" s="591"/>
      <c r="O130" s="591"/>
      <c r="P130" s="593"/>
      <c r="Q130" s="594"/>
      <c r="R130" s="593"/>
      <c r="S130" s="593"/>
      <c r="T130" s="591"/>
      <c r="U130" s="492"/>
      <c r="V130" s="492"/>
      <c r="W130" s="492"/>
      <c r="X130" s="492"/>
      <c r="Y130" s="492"/>
      <c r="Z130" s="492"/>
    </row>
    <row r="131" spans="1:26" ht="16.2" thickBot="1" x14ac:dyDescent="0.35">
      <c r="A131" s="490"/>
      <c r="B131" s="591"/>
      <c r="C131" s="592"/>
      <c r="D131" s="591"/>
      <c r="E131" s="591"/>
      <c r="F131" s="591"/>
      <c r="G131" s="591"/>
      <c r="H131" s="490"/>
      <c r="I131" s="490"/>
      <c r="J131" s="591"/>
      <c r="K131" s="593"/>
      <c r="L131" s="593"/>
      <c r="M131" s="591"/>
      <c r="N131" s="591"/>
      <c r="O131" s="591"/>
      <c r="P131" s="593"/>
      <c r="Q131" s="594"/>
      <c r="R131" s="593"/>
      <c r="S131" s="593"/>
      <c r="T131" s="591"/>
      <c r="U131" s="492"/>
      <c r="V131" s="492"/>
      <c r="W131" s="492"/>
      <c r="X131" s="492"/>
      <c r="Y131" s="492"/>
      <c r="Z131" s="492"/>
    </row>
    <row r="132" spans="1:26" ht="15.6" x14ac:dyDescent="0.3">
      <c r="A132" s="498" t="s">
        <v>21</v>
      </c>
      <c r="B132" s="501" t="s">
        <v>16</v>
      </c>
      <c r="C132" s="597" t="s">
        <v>7</v>
      </c>
      <c r="D132" s="501" t="s">
        <v>58</v>
      </c>
      <c r="E132" s="501" t="s">
        <v>59</v>
      </c>
      <c r="F132" s="501" t="s">
        <v>60</v>
      </c>
      <c r="G132" s="502" t="s">
        <v>14</v>
      </c>
      <c r="H132" s="499" t="s">
        <v>3</v>
      </c>
      <c r="I132" s="501" t="s">
        <v>82</v>
      </c>
      <c r="J132" s="503" t="s">
        <v>13</v>
      </c>
      <c r="K132" s="504"/>
      <c r="L132" s="504"/>
      <c r="M132" s="505"/>
      <c r="N132" s="503" t="s">
        <v>168</v>
      </c>
      <c r="O132" s="504"/>
      <c r="P132" s="504"/>
      <c r="Q132" s="505"/>
      <c r="R132" s="503" t="s">
        <v>30</v>
      </c>
      <c r="S132" s="504"/>
      <c r="T132" s="505"/>
      <c r="U132" s="506" t="s">
        <v>31</v>
      </c>
      <c r="V132" s="507"/>
      <c r="W132" s="508"/>
      <c r="X132" s="492"/>
      <c r="Y132" s="492"/>
      <c r="Z132" s="492"/>
    </row>
    <row r="133" spans="1:26" ht="15.6" x14ac:dyDescent="0.3">
      <c r="A133" s="509"/>
      <c r="B133" s="512"/>
      <c r="C133" s="598"/>
      <c r="D133" s="512"/>
      <c r="E133" s="512"/>
      <c r="F133" s="512"/>
      <c r="G133" s="517"/>
      <c r="H133" s="514"/>
      <c r="I133" s="523"/>
      <c r="J133" s="510"/>
      <c r="K133" s="515" t="s">
        <v>10</v>
      </c>
      <c r="L133" s="515" t="s">
        <v>11</v>
      </c>
      <c r="M133" s="516" t="s">
        <v>12</v>
      </c>
      <c r="N133" s="510"/>
      <c r="O133" s="517"/>
      <c r="P133" s="515"/>
      <c r="Q133" s="518"/>
      <c r="R133" s="519" t="s">
        <v>9</v>
      </c>
      <c r="S133" s="515" t="s">
        <v>15</v>
      </c>
      <c r="T133" s="516" t="s">
        <v>20</v>
      </c>
      <c r="U133" s="519" t="s">
        <v>9</v>
      </c>
      <c r="V133" s="515" t="s">
        <v>15</v>
      </c>
      <c r="W133" s="520" t="s">
        <v>20</v>
      </c>
      <c r="X133" s="492"/>
      <c r="Y133" s="492"/>
      <c r="Z133" s="492"/>
    </row>
    <row r="134" spans="1:26" s="66" customFormat="1" ht="15.6" x14ac:dyDescent="0.3">
      <c r="A134" s="521"/>
      <c r="B134" s="514"/>
      <c r="C134" s="522"/>
      <c r="D134" s="514" t="s">
        <v>74</v>
      </c>
      <c r="E134" s="514" t="s">
        <v>75</v>
      </c>
      <c r="F134" s="523" t="s">
        <v>76</v>
      </c>
      <c r="G134" s="523"/>
      <c r="H134" s="513"/>
      <c r="I134" s="523"/>
      <c r="J134" s="514"/>
      <c r="K134" s="524" t="s">
        <v>4</v>
      </c>
      <c r="L134" s="524" t="s">
        <v>4</v>
      </c>
      <c r="M134" s="513" t="s">
        <v>4</v>
      </c>
      <c r="N134" s="514"/>
      <c r="O134" s="513"/>
      <c r="P134" s="513"/>
      <c r="Q134" s="525"/>
      <c r="R134" s="526" t="s">
        <v>1</v>
      </c>
      <c r="S134" s="524"/>
      <c r="T134" s="527"/>
      <c r="U134" s="526"/>
      <c r="V134" s="524"/>
      <c r="W134" s="528"/>
      <c r="X134" s="490"/>
      <c r="Y134" s="490"/>
      <c r="Z134" s="490"/>
    </row>
    <row r="135" spans="1:26" ht="15.6" x14ac:dyDescent="0.3">
      <c r="A135" s="521"/>
      <c r="B135" s="566"/>
      <c r="C135" s="571"/>
      <c r="D135" s="566"/>
      <c r="E135" s="566"/>
      <c r="F135" s="566"/>
      <c r="G135" s="554"/>
      <c r="H135" s="514"/>
      <c r="I135" s="523"/>
      <c r="J135" s="553"/>
      <c r="K135" s="568"/>
      <c r="L135" s="568"/>
      <c r="M135" s="569"/>
      <c r="N135" s="553"/>
      <c r="O135" s="554"/>
      <c r="P135" s="568"/>
      <c r="Q135" s="556"/>
      <c r="R135" s="572"/>
      <c r="S135" s="568"/>
      <c r="T135" s="569"/>
      <c r="U135" s="563"/>
      <c r="V135" s="530"/>
      <c r="W135" s="531"/>
      <c r="X135" s="492"/>
      <c r="Y135" s="492"/>
      <c r="Z135" s="492"/>
    </row>
    <row r="136" spans="1:26" ht="15.6" x14ac:dyDescent="0.3">
      <c r="A136" s="532" t="s">
        <v>97</v>
      </c>
      <c r="B136" s="535" t="s">
        <v>95</v>
      </c>
      <c r="C136" s="564">
        <v>37519</v>
      </c>
      <c r="D136" s="535">
        <v>24</v>
      </c>
      <c r="E136" s="535">
        <v>200</v>
      </c>
      <c r="F136" s="535">
        <v>12.14</v>
      </c>
      <c r="G136" s="536" t="s">
        <v>66</v>
      </c>
      <c r="H136" s="533" t="s">
        <v>61</v>
      </c>
      <c r="I136" s="535" t="s">
        <v>115</v>
      </c>
      <c r="J136" s="533" t="s">
        <v>19</v>
      </c>
      <c r="K136" s="537">
        <v>48.070999999999998</v>
      </c>
      <c r="L136" s="537">
        <v>48.146000000000001</v>
      </c>
      <c r="M136" s="538">
        <f>L136-K136</f>
        <v>7.5000000000002842E-2</v>
      </c>
      <c r="N136" s="533" t="s">
        <v>162</v>
      </c>
      <c r="O136" s="536" t="s">
        <v>169</v>
      </c>
      <c r="P136" s="540" t="s">
        <v>166</v>
      </c>
      <c r="Q136" s="541" t="s">
        <v>167</v>
      </c>
      <c r="R136" s="542">
        <f>60*SUM(M136:M139)/F136</f>
        <v>1.0823723228995117</v>
      </c>
      <c r="S136" s="537">
        <f>100*SUM(M136:M139)/P139</f>
        <v>1.7488464879887968</v>
      </c>
      <c r="T136" s="538">
        <f>1000*SUM(M136:M139)/P139</f>
        <v>17.488464879887967</v>
      </c>
      <c r="U136" s="533" t="s">
        <v>42</v>
      </c>
      <c r="V136" s="536" t="s">
        <v>42</v>
      </c>
      <c r="W136" s="543">
        <v>4.8</v>
      </c>
      <c r="X136" s="492"/>
      <c r="Y136" s="492"/>
      <c r="Z136" s="492"/>
    </row>
    <row r="137" spans="1:26" ht="15.6" x14ac:dyDescent="0.3">
      <c r="A137" s="532"/>
      <c r="B137" s="535" t="s">
        <v>85</v>
      </c>
      <c r="C137" s="564"/>
      <c r="D137" s="535"/>
      <c r="E137" s="535"/>
      <c r="F137" s="535"/>
      <c r="G137" s="536" t="s">
        <v>67</v>
      </c>
      <c r="H137" s="533">
        <v>304</v>
      </c>
      <c r="I137" s="535" t="s">
        <v>127</v>
      </c>
      <c r="J137" s="533" t="s">
        <v>8</v>
      </c>
      <c r="K137" s="537">
        <v>18.867000000000001</v>
      </c>
      <c r="L137" s="537">
        <v>19.010999999999999</v>
      </c>
      <c r="M137" s="538">
        <f>L137-K137</f>
        <v>0.14399999999999835</v>
      </c>
      <c r="N137" s="533">
        <v>6.65625</v>
      </c>
      <c r="O137" s="536">
        <f>4+1/2+1/4+1/16</f>
        <v>4.8125</v>
      </c>
      <c r="P137" s="537">
        <v>0.124435</v>
      </c>
      <c r="Q137" s="541">
        <f>N137*3.14159*O137</f>
        <v>100.63519060546875</v>
      </c>
      <c r="R137" s="542"/>
      <c r="S137" s="537"/>
      <c r="T137" s="538"/>
      <c r="U137" s="533"/>
      <c r="V137" s="536"/>
      <c r="W137" s="543"/>
      <c r="X137" s="492"/>
      <c r="Y137" s="492"/>
      <c r="Z137" s="492"/>
    </row>
    <row r="138" spans="1:26" ht="15.6" x14ac:dyDescent="0.3">
      <c r="A138" s="532"/>
      <c r="B138" s="535" t="s">
        <v>86</v>
      </c>
      <c r="C138" s="564"/>
      <c r="D138" s="535"/>
      <c r="E138" s="535"/>
      <c r="F138" s="535"/>
      <c r="G138" s="536"/>
      <c r="H138" s="533"/>
      <c r="I138" s="535"/>
      <c r="J138" s="533"/>
      <c r="K138" s="537"/>
      <c r="L138" s="537"/>
      <c r="M138" s="538">
        <f>L138-K138</f>
        <v>0</v>
      </c>
      <c r="N138" s="610"/>
      <c r="O138" s="536"/>
      <c r="P138" s="547"/>
      <c r="Q138" s="541"/>
      <c r="R138" s="542"/>
      <c r="S138" s="537"/>
      <c r="T138" s="538"/>
      <c r="U138" s="549" t="s">
        <v>175</v>
      </c>
      <c r="V138" s="550"/>
      <c r="W138" s="551"/>
      <c r="X138" s="492"/>
      <c r="Y138" s="492"/>
      <c r="Z138" s="492"/>
    </row>
    <row r="139" spans="1:26" ht="15.6" x14ac:dyDescent="0.3">
      <c r="A139" s="532"/>
      <c r="B139" s="535"/>
      <c r="C139" s="564"/>
      <c r="D139" s="535"/>
      <c r="E139" s="535"/>
      <c r="F139" s="535"/>
      <c r="G139" s="536"/>
      <c r="H139" s="533"/>
      <c r="I139" s="535"/>
      <c r="J139" s="533"/>
      <c r="K139" s="537"/>
      <c r="L139" s="537"/>
      <c r="M139" s="538">
        <f>L139-K139</f>
        <v>0</v>
      </c>
      <c r="N139" s="549" t="s">
        <v>18</v>
      </c>
      <c r="O139" s="550"/>
      <c r="P139" s="537">
        <f>Q137*P137</f>
        <v>12.522539942991504</v>
      </c>
      <c r="Q139" s="541" t="s">
        <v>163</v>
      </c>
      <c r="R139" s="542"/>
      <c r="S139" s="537"/>
      <c r="T139" s="538"/>
      <c r="U139" s="533"/>
      <c r="V139" s="536"/>
      <c r="W139" s="543"/>
      <c r="X139" s="492"/>
      <c r="Y139" s="492"/>
      <c r="Z139" s="492"/>
    </row>
    <row r="140" spans="1:26" ht="15.6" x14ac:dyDescent="0.3">
      <c r="A140" s="532"/>
      <c r="B140" s="535"/>
      <c r="C140" s="564"/>
      <c r="D140" s="535"/>
      <c r="E140" s="535"/>
      <c r="F140" s="535"/>
      <c r="G140" s="536"/>
      <c r="H140" s="533"/>
      <c r="I140" s="535"/>
      <c r="J140" s="533"/>
      <c r="K140" s="537"/>
      <c r="L140" s="537"/>
      <c r="M140" s="538"/>
      <c r="N140" s="610"/>
      <c r="O140" s="536"/>
      <c r="P140" s="537"/>
      <c r="Q140" s="541">
        <f>60*Q137/F136</f>
        <v>497.37326493641882</v>
      </c>
      <c r="R140" s="542"/>
      <c r="S140" s="537"/>
      <c r="T140" s="538"/>
      <c r="U140" s="533"/>
      <c r="V140" s="536"/>
      <c r="W140" s="543"/>
      <c r="X140" s="492"/>
      <c r="Y140" s="492"/>
      <c r="Z140" s="492"/>
    </row>
    <row r="141" spans="1:26" ht="15.6" x14ac:dyDescent="0.3">
      <c r="A141" s="570" t="s">
        <v>99</v>
      </c>
      <c r="B141" s="566" t="s">
        <v>88</v>
      </c>
      <c r="C141" s="571">
        <v>37525</v>
      </c>
      <c r="D141" s="566">
        <v>21</v>
      </c>
      <c r="E141" s="566">
        <v>175</v>
      </c>
      <c r="F141" s="566">
        <v>20</v>
      </c>
      <c r="G141" s="513" t="s">
        <v>66</v>
      </c>
      <c r="H141" s="514" t="s">
        <v>61</v>
      </c>
      <c r="I141" s="523" t="s">
        <v>115</v>
      </c>
      <c r="J141" s="553" t="s">
        <v>19</v>
      </c>
      <c r="K141" s="568">
        <v>48.643000000000001</v>
      </c>
      <c r="L141" s="568">
        <v>48.74</v>
      </c>
      <c r="M141" s="569">
        <f>L141-K141</f>
        <v>9.7000000000001307E-2</v>
      </c>
      <c r="N141" s="553" t="s">
        <v>162</v>
      </c>
      <c r="O141" s="554" t="s">
        <v>169</v>
      </c>
      <c r="P141" s="496" t="s">
        <v>166</v>
      </c>
      <c r="Q141" s="556" t="s">
        <v>167</v>
      </c>
      <c r="R141" s="572">
        <f>60*SUM(M141:M144)/F141</f>
        <v>0.54899999999999949</v>
      </c>
      <c r="S141" s="568">
        <f>100*SUM(M141:M144)/P144</f>
        <v>0.56280785851081749</v>
      </c>
      <c r="T141" s="569">
        <f>1000*SUM(M141:M144)/P144</f>
        <v>5.6280785851081747</v>
      </c>
      <c r="U141" s="553" t="s">
        <v>42</v>
      </c>
      <c r="V141" s="554" t="s">
        <v>42</v>
      </c>
      <c r="W141" s="555" t="s">
        <v>42</v>
      </c>
      <c r="X141" s="492"/>
      <c r="Y141" s="492"/>
      <c r="Z141" s="492"/>
    </row>
    <row r="142" spans="1:26" ht="15.6" x14ac:dyDescent="0.3">
      <c r="A142" s="570"/>
      <c r="B142" s="566" t="s">
        <v>85</v>
      </c>
      <c r="C142" s="571"/>
      <c r="D142" s="566"/>
      <c r="E142" s="566"/>
      <c r="F142" s="566"/>
      <c r="G142" s="513" t="s">
        <v>67</v>
      </c>
      <c r="H142" s="514">
        <v>304</v>
      </c>
      <c r="I142" s="523" t="s">
        <v>127</v>
      </c>
      <c r="J142" s="553" t="s">
        <v>8</v>
      </c>
      <c r="K142" s="568">
        <v>20.082000000000001</v>
      </c>
      <c r="L142" s="568">
        <v>20.167999999999999</v>
      </c>
      <c r="M142" s="569">
        <f>L142-K142</f>
        <v>8.5999999999998522E-2</v>
      </c>
      <c r="N142" s="553">
        <v>6.53125</v>
      </c>
      <c r="O142" s="554">
        <v>12.735106203117125</v>
      </c>
      <c r="P142" s="568">
        <v>0.124435</v>
      </c>
      <c r="Q142" s="556">
        <f>N142*3.14159*O142</f>
        <v>261.30540000000008</v>
      </c>
      <c r="R142" s="572"/>
      <c r="S142" s="568"/>
      <c r="T142" s="569"/>
      <c r="U142" s="553"/>
      <c r="V142" s="554"/>
      <c r="W142" s="555"/>
      <c r="X142" s="492"/>
      <c r="Y142" s="492"/>
      <c r="Z142" s="492"/>
    </row>
    <row r="143" spans="1:26" ht="15.6" x14ac:dyDescent="0.3">
      <c r="A143" s="570"/>
      <c r="B143" s="566" t="s">
        <v>48</v>
      </c>
      <c r="C143" s="571"/>
      <c r="D143" s="566"/>
      <c r="E143" s="566"/>
      <c r="F143" s="566"/>
      <c r="G143" s="554"/>
      <c r="H143" s="514"/>
      <c r="I143" s="523"/>
      <c r="J143" s="553"/>
      <c r="K143" s="568"/>
      <c r="L143" s="568"/>
      <c r="M143" s="569">
        <f>L143-K143</f>
        <v>0</v>
      </c>
      <c r="N143" s="492"/>
      <c r="O143" s="492"/>
      <c r="P143" s="493"/>
      <c r="Q143" s="556"/>
      <c r="R143" s="572"/>
      <c r="S143" s="568"/>
      <c r="T143" s="569"/>
      <c r="U143" s="573" t="s">
        <v>177</v>
      </c>
      <c r="V143" s="574"/>
      <c r="W143" s="575"/>
      <c r="X143" s="492"/>
      <c r="Y143" s="492"/>
      <c r="Z143" s="492"/>
    </row>
    <row r="144" spans="1:26" ht="15.6" x14ac:dyDescent="0.3">
      <c r="A144" s="570"/>
      <c r="B144" s="566"/>
      <c r="C144" s="571"/>
      <c r="D144" s="566"/>
      <c r="E144" s="566"/>
      <c r="F144" s="566"/>
      <c r="G144" s="554"/>
      <c r="H144" s="514"/>
      <c r="I144" s="523"/>
      <c r="J144" s="553"/>
      <c r="K144" s="568"/>
      <c r="L144" s="568"/>
      <c r="M144" s="569">
        <f>L144-K144</f>
        <v>0</v>
      </c>
      <c r="N144" s="573" t="s">
        <v>18</v>
      </c>
      <c r="O144" s="574"/>
      <c r="P144" s="568">
        <f>Q142*P142</f>
        <v>32.515537449000007</v>
      </c>
      <c r="Q144" s="556" t="s">
        <v>163</v>
      </c>
      <c r="R144" s="572"/>
      <c r="S144" s="568"/>
      <c r="T144" s="569"/>
      <c r="U144" s="553"/>
      <c r="V144" s="554"/>
      <c r="W144" s="555"/>
      <c r="X144" s="492"/>
      <c r="Y144" s="492"/>
      <c r="Z144" s="492"/>
    </row>
    <row r="145" spans="1:26" ht="15.6" x14ac:dyDescent="0.3">
      <c r="A145" s="570"/>
      <c r="B145" s="566"/>
      <c r="C145" s="571"/>
      <c r="D145" s="566"/>
      <c r="E145" s="566"/>
      <c r="F145" s="566"/>
      <c r="G145" s="554"/>
      <c r="H145" s="514"/>
      <c r="I145" s="523"/>
      <c r="J145" s="553"/>
      <c r="K145" s="568"/>
      <c r="L145" s="568"/>
      <c r="M145" s="569"/>
      <c r="N145" s="553"/>
      <c r="O145" s="554"/>
      <c r="P145" s="568"/>
      <c r="Q145" s="556">
        <f>60*Q142/F141</f>
        <v>783.91620000000023</v>
      </c>
      <c r="R145" s="572"/>
      <c r="S145" s="568"/>
      <c r="T145" s="569"/>
      <c r="U145" s="553"/>
      <c r="V145" s="554"/>
      <c r="W145" s="555"/>
      <c r="X145" s="492"/>
      <c r="Y145" s="492"/>
      <c r="Z145" s="492"/>
    </row>
    <row r="146" spans="1:26" ht="15.6" x14ac:dyDescent="0.3">
      <c r="A146" s="532" t="s">
        <v>100</v>
      </c>
      <c r="B146" s="535" t="s">
        <v>88</v>
      </c>
      <c r="C146" s="564">
        <v>37525</v>
      </c>
      <c r="D146" s="535">
        <v>22</v>
      </c>
      <c r="E146" s="535">
        <v>160</v>
      </c>
      <c r="F146" s="535">
        <v>12</v>
      </c>
      <c r="G146" s="536" t="s">
        <v>66</v>
      </c>
      <c r="H146" s="533" t="s">
        <v>61</v>
      </c>
      <c r="I146" s="535" t="s">
        <v>115</v>
      </c>
      <c r="J146" s="533" t="s">
        <v>19</v>
      </c>
      <c r="K146" s="537">
        <v>50.09</v>
      </c>
      <c r="L146" s="537">
        <v>50.091000000000001</v>
      </c>
      <c r="M146" s="538">
        <f>L146-K146</f>
        <v>9.9999999999766942E-4</v>
      </c>
      <c r="N146" s="533" t="s">
        <v>162</v>
      </c>
      <c r="O146" s="536" t="s">
        <v>169</v>
      </c>
      <c r="P146" s="540" t="s">
        <v>166</v>
      </c>
      <c r="Q146" s="541" t="s">
        <v>167</v>
      </c>
      <c r="R146" s="542">
        <f>60*SUM(M146:M149)/F146</f>
        <v>0.47499999999997655</v>
      </c>
      <c r="S146" s="537">
        <f>100*SUM(M146:M149)/P149</f>
        <v>0.90200986356411827</v>
      </c>
      <c r="T146" s="538">
        <f>1000*SUM(M146:M149)/P149</f>
        <v>9.0200986356411832</v>
      </c>
      <c r="U146" s="533" t="s">
        <v>42</v>
      </c>
      <c r="V146" s="536" t="s">
        <v>42</v>
      </c>
      <c r="W146" s="543" t="s">
        <v>42</v>
      </c>
      <c r="X146" s="492"/>
      <c r="Y146" s="492"/>
      <c r="Z146" s="492"/>
    </row>
    <row r="147" spans="1:26" ht="15.6" x14ac:dyDescent="0.3">
      <c r="A147" s="532"/>
      <c r="B147" s="535" t="s">
        <v>85</v>
      </c>
      <c r="C147" s="564"/>
      <c r="D147" s="535"/>
      <c r="E147" s="535"/>
      <c r="F147" s="535"/>
      <c r="G147" s="536" t="s">
        <v>67</v>
      </c>
      <c r="H147" s="533">
        <v>304</v>
      </c>
      <c r="I147" s="535" t="s">
        <v>127</v>
      </c>
      <c r="J147" s="533" t="s">
        <v>8</v>
      </c>
      <c r="K147" s="537">
        <v>23.547000000000001</v>
      </c>
      <c r="L147" s="537">
        <v>23.640999999999998</v>
      </c>
      <c r="M147" s="538">
        <f>L147-K147</f>
        <v>9.3999999999997641E-2</v>
      </c>
      <c r="N147" s="533">
        <v>6.53125</v>
      </c>
      <c r="O147" s="536">
        <v>4.125</v>
      </c>
      <c r="P147" s="537">
        <v>0.124435</v>
      </c>
      <c r="Q147" s="541">
        <f>N147*3.14159*O147</f>
        <v>84.6388524609375</v>
      </c>
      <c r="R147" s="542"/>
      <c r="S147" s="537"/>
      <c r="T147" s="538"/>
      <c r="U147" s="533"/>
      <c r="V147" s="536"/>
      <c r="W147" s="543"/>
      <c r="X147" s="492"/>
      <c r="Y147" s="492"/>
      <c r="Z147" s="492"/>
    </row>
    <row r="148" spans="1:26" ht="15.6" x14ac:dyDescent="0.3">
      <c r="A148" s="532"/>
      <c r="B148" s="535" t="s">
        <v>50</v>
      </c>
      <c r="C148" s="564"/>
      <c r="D148" s="535"/>
      <c r="E148" s="535"/>
      <c r="F148" s="535"/>
      <c r="G148" s="536"/>
      <c r="H148" s="533"/>
      <c r="I148" s="535"/>
      <c r="J148" s="533"/>
      <c r="K148" s="537"/>
      <c r="L148" s="537"/>
      <c r="M148" s="538">
        <f>L148-K148</f>
        <v>0</v>
      </c>
      <c r="N148" s="610"/>
      <c r="O148" s="536"/>
      <c r="P148" s="547"/>
      <c r="Q148" s="541"/>
      <c r="R148" s="542"/>
      <c r="S148" s="537"/>
      <c r="T148" s="538"/>
      <c r="U148" s="549" t="s">
        <v>177</v>
      </c>
      <c r="V148" s="550"/>
      <c r="W148" s="551"/>
      <c r="X148" s="492"/>
      <c r="Y148" s="492"/>
      <c r="Z148" s="492"/>
    </row>
    <row r="149" spans="1:26" ht="15.6" x14ac:dyDescent="0.3">
      <c r="A149" s="532"/>
      <c r="B149" s="535"/>
      <c r="C149" s="564"/>
      <c r="D149" s="535"/>
      <c r="E149" s="535"/>
      <c r="F149" s="535"/>
      <c r="G149" s="536"/>
      <c r="H149" s="533"/>
      <c r="I149" s="535"/>
      <c r="J149" s="533"/>
      <c r="K149" s="537"/>
      <c r="L149" s="537"/>
      <c r="M149" s="538">
        <f>L149-K149</f>
        <v>0</v>
      </c>
      <c r="N149" s="549" t="s">
        <v>18</v>
      </c>
      <c r="O149" s="550"/>
      <c r="P149" s="537">
        <f>Q147*P147</f>
        <v>10.532035605976757</v>
      </c>
      <c r="Q149" s="541" t="s">
        <v>163</v>
      </c>
      <c r="R149" s="542"/>
      <c r="S149" s="537"/>
      <c r="T149" s="538"/>
      <c r="U149" s="533"/>
      <c r="V149" s="536"/>
      <c r="W149" s="543"/>
      <c r="X149" s="492"/>
      <c r="Y149" s="492"/>
      <c r="Z149" s="492"/>
    </row>
    <row r="150" spans="1:26" ht="15.6" x14ac:dyDescent="0.3">
      <c r="A150" s="532"/>
      <c r="B150" s="535"/>
      <c r="C150" s="564"/>
      <c r="D150" s="535"/>
      <c r="E150" s="535"/>
      <c r="F150" s="535"/>
      <c r="G150" s="536"/>
      <c r="H150" s="533"/>
      <c r="I150" s="535"/>
      <c r="J150" s="533"/>
      <c r="K150" s="537"/>
      <c r="L150" s="537"/>
      <c r="M150" s="538"/>
      <c r="N150" s="610"/>
      <c r="O150" s="536"/>
      <c r="P150" s="537"/>
      <c r="Q150" s="541">
        <f>60*Q147/F146</f>
        <v>423.19426230468753</v>
      </c>
      <c r="R150" s="542"/>
      <c r="S150" s="537"/>
      <c r="T150" s="538"/>
      <c r="U150" s="533"/>
      <c r="V150" s="536"/>
      <c r="W150" s="543"/>
      <c r="X150" s="492"/>
      <c r="Y150" s="492"/>
      <c r="Z150" s="492"/>
    </row>
    <row r="151" spans="1:26" ht="15.6" x14ac:dyDescent="0.3">
      <c r="A151" s="570" t="s">
        <v>101</v>
      </c>
      <c r="B151" s="566" t="s">
        <v>104</v>
      </c>
      <c r="C151" s="571">
        <v>37532</v>
      </c>
      <c r="D151" s="566" t="s">
        <v>56</v>
      </c>
      <c r="E151" s="566">
        <v>150</v>
      </c>
      <c r="F151" s="566">
        <v>60.08</v>
      </c>
      <c r="G151" s="554" t="s">
        <v>107</v>
      </c>
      <c r="H151" s="514" t="s">
        <v>61</v>
      </c>
      <c r="I151" s="523" t="s">
        <v>42</v>
      </c>
      <c r="J151" s="553" t="s">
        <v>24</v>
      </c>
      <c r="K151" s="568">
        <v>22.55</v>
      </c>
      <c r="L151" s="568">
        <v>22.597999999999999</v>
      </c>
      <c r="M151" s="569">
        <f>L151-K151</f>
        <v>4.7999999999998266E-2</v>
      </c>
      <c r="N151" s="490" t="s">
        <v>171</v>
      </c>
      <c r="O151" s="490" t="s">
        <v>170</v>
      </c>
      <c r="P151" s="568"/>
      <c r="Q151" s="556"/>
      <c r="R151" s="572">
        <f>60*SUM(M151:M154)/F151</f>
        <v>0.24567243675099734</v>
      </c>
      <c r="S151" s="568">
        <f>100*SUM(M151:M154)/P154</f>
        <v>0.48161540856061341</v>
      </c>
      <c r="T151" s="569">
        <f>1000*SUM(M151:M154)/P154</f>
        <v>4.8161540856061338</v>
      </c>
      <c r="U151" s="553" t="s">
        <v>42</v>
      </c>
      <c r="V151" s="554" t="s">
        <v>42</v>
      </c>
      <c r="W151" s="555">
        <v>8.1</v>
      </c>
      <c r="X151" s="492"/>
      <c r="Y151" s="492"/>
      <c r="Z151" s="492"/>
    </row>
    <row r="152" spans="1:26" ht="15.6" x14ac:dyDescent="0.3">
      <c r="A152" s="570"/>
      <c r="B152" s="566" t="s">
        <v>57</v>
      </c>
      <c r="C152" s="571"/>
      <c r="D152" s="566"/>
      <c r="E152" s="566"/>
      <c r="F152" s="566"/>
      <c r="G152" s="554" t="s">
        <v>108</v>
      </c>
      <c r="H152" s="514">
        <v>304</v>
      </c>
      <c r="I152" s="523"/>
      <c r="J152" s="553" t="s">
        <v>23</v>
      </c>
      <c r="K152" s="568">
        <v>24.039000000000001</v>
      </c>
      <c r="L152" s="568">
        <v>24.079000000000001</v>
      </c>
      <c r="M152" s="569">
        <f>L152-K152</f>
        <v>3.9999999999999147E-2</v>
      </c>
      <c r="N152" s="553">
        <v>55.195</v>
      </c>
      <c r="O152" s="554">
        <v>4.1169000000000002</v>
      </c>
      <c r="P152" s="568"/>
      <c r="Q152" s="556"/>
      <c r="R152" s="572"/>
      <c r="S152" s="568"/>
      <c r="T152" s="569"/>
      <c r="U152" s="553"/>
      <c r="V152" s="554"/>
      <c r="W152" s="555"/>
      <c r="X152" s="492"/>
      <c r="Y152" s="492"/>
      <c r="Z152" s="492"/>
    </row>
    <row r="153" spans="1:26" ht="15.6" x14ac:dyDescent="0.3">
      <c r="A153" s="570"/>
      <c r="B153" s="566"/>
      <c r="C153" s="571"/>
      <c r="D153" s="566"/>
      <c r="E153" s="566"/>
      <c r="F153" s="566"/>
      <c r="G153" s="554"/>
      <c r="H153" s="514"/>
      <c r="I153" s="523"/>
      <c r="J153" s="553" t="s">
        <v>26</v>
      </c>
      <c r="K153" s="568">
        <v>22.664999999999999</v>
      </c>
      <c r="L153" s="568">
        <v>22.747</v>
      </c>
      <c r="M153" s="569">
        <f>L153-K153</f>
        <v>8.2000000000000739E-2</v>
      </c>
      <c r="N153" s="492"/>
      <c r="O153" s="492"/>
      <c r="P153" s="493"/>
      <c r="Q153" s="556"/>
      <c r="R153" s="572"/>
      <c r="S153" s="568"/>
      <c r="T153" s="569"/>
      <c r="U153" s="573" t="s">
        <v>178</v>
      </c>
      <c r="V153" s="574"/>
      <c r="W153" s="575"/>
      <c r="X153" s="492"/>
      <c r="Y153" s="492"/>
      <c r="Z153" s="492"/>
    </row>
    <row r="154" spans="1:26" ht="15.6" x14ac:dyDescent="0.3">
      <c r="A154" s="570"/>
      <c r="B154" s="566"/>
      <c r="C154" s="571"/>
      <c r="D154" s="566"/>
      <c r="E154" s="566"/>
      <c r="F154" s="566"/>
      <c r="G154" s="554"/>
      <c r="H154" s="514"/>
      <c r="I154" s="523"/>
      <c r="J154" s="553" t="s">
        <v>25</v>
      </c>
      <c r="K154" s="568">
        <v>22.294</v>
      </c>
      <c r="L154" s="568">
        <v>22.37</v>
      </c>
      <c r="M154" s="569">
        <f>L154-K154</f>
        <v>7.6000000000000512E-2</v>
      </c>
      <c r="N154" s="573" t="s">
        <v>18</v>
      </c>
      <c r="O154" s="574"/>
      <c r="P154" s="568">
        <f>N152-O152</f>
        <v>51.078099999999999</v>
      </c>
      <c r="Q154" s="556"/>
      <c r="R154" s="572"/>
      <c r="S154" s="568"/>
      <c r="T154" s="569"/>
      <c r="U154" s="553"/>
      <c r="V154" s="554"/>
      <c r="W154" s="555"/>
      <c r="X154" s="492"/>
      <c r="Y154" s="492"/>
      <c r="Z154" s="492"/>
    </row>
    <row r="155" spans="1:26" ht="15.6" x14ac:dyDescent="0.3">
      <c r="A155" s="570"/>
      <c r="B155" s="566"/>
      <c r="C155" s="571"/>
      <c r="D155" s="566"/>
      <c r="E155" s="566"/>
      <c r="F155" s="566"/>
      <c r="G155" s="554"/>
      <c r="H155" s="514"/>
      <c r="I155" s="523"/>
      <c r="J155" s="553"/>
      <c r="K155" s="568"/>
      <c r="L155" s="568"/>
      <c r="M155" s="569"/>
      <c r="N155" s="553"/>
      <c r="O155" s="554"/>
      <c r="P155" s="568"/>
      <c r="Q155" s="556"/>
      <c r="R155" s="572"/>
      <c r="S155" s="568"/>
      <c r="T155" s="569"/>
      <c r="U155" s="553"/>
      <c r="V155" s="554"/>
      <c r="W155" s="555"/>
      <c r="X155" s="492"/>
      <c r="Y155" s="492"/>
      <c r="Z155" s="492"/>
    </row>
    <row r="156" spans="1:26" ht="15.6" x14ac:dyDescent="0.3">
      <c r="A156" s="532" t="s">
        <v>102</v>
      </c>
      <c r="B156" s="535" t="s">
        <v>104</v>
      </c>
      <c r="C156" s="564">
        <v>37538</v>
      </c>
      <c r="D156" s="535" t="s">
        <v>56</v>
      </c>
      <c r="E156" s="535">
        <v>150</v>
      </c>
      <c r="F156" s="535">
        <v>123.66</v>
      </c>
      <c r="G156" s="536" t="s">
        <v>107</v>
      </c>
      <c r="H156" s="533" t="s">
        <v>61</v>
      </c>
      <c r="I156" s="535" t="s">
        <v>42</v>
      </c>
      <c r="J156" s="533" t="s">
        <v>24</v>
      </c>
      <c r="K156" s="537">
        <v>24.724</v>
      </c>
      <c r="L156" s="537">
        <v>24.821999999999999</v>
      </c>
      <c r="M156" s="538">
        <f>L156-K156</f>
        <v>9.7999999999998977E-2</v>
      </c>
      <c r="N156" s="539" t="s">
        <v>171</v>
      </c>
      <c r="O156" s="539" t="s">
        <v>170</v>
      </c>
      <c r="P156" s="537"/>
      <c r="Q156" s="541"/>
      <c r="R156" s="542">
        <f>60*SUM(M156:M159)/F156</f>
        <v>0.20232896652110532</v>
      </c>
      <c r="S156" s="537">
        <f>100*SUM(M156:M159)/P159</f>
        <v>0.42503355930441067</v>
      </c>
      <c r="T156" s="538">
        <f>1000*SUM(M156:M159)/P159</f>
        <v>4.2503355930441069</v>
      </c>
      <c r="U156" s="533" t="s">
        <v>42</v>
      </c>
      <c r="V156" s="536" t="s">
        <v>42</v>
      </c>
      <c r="W156" s="543">
        <v>8.1</v>
      </c>
      <c r="X156" s="492"/>
      <c r="Y156" s="492"/>
      <c r="Z156" s="492"/>
    </row>
    <row r="157" spans="1:26" ht="15.6" x14ac:dyDescent="0.3">
      <c r="A157" s="532"/>
      <c r="B157" s="535" t="s">
        <v>57</v>
      </c>
      <c r="C157" s="564"/>
      <c r="D157" s="535"/>
      <c r="E157" s="535"/>
      <c r="F157" s="535"/>
      <c r="G157" s="536" t="s">
        <v>108</v>
      </c>
      <c r="H157" s="533">
        <v>304</v>
      </c>
      <c r="I157" s="535"/>
      <c r="J157" s="533" t="s">
        <v>23</v>
      </c>
      <c r="K157" s="537">
        <v>23.5</v>
      </c>
      <c r="L157" s="537">
        <v>23.593</v>
      </c>
      <c r="M157" s="538">
        <f>L157-K157</f>
        <v>9.2999999999999972E-2</v>
      </c>
      <c r="N157" s="533">
        <v>110.697</v>
      </c>
      <c r="O157" s="536">
        <v>12.5871</v>
      </c>
      <c r="P157" s="537"/>
      <c r="Q157" s="541"/>
      <c r="R157" s="542"/>
      <c r="S157" s="537"/>
      <c r="T157" s="538"/>
      <c r="U157" s="533"/>
      <c r="V157" s="544"/>
      <c r="W157" s="543"/>
      <c r="X157" s="492"/>
      <c r="Y157" s="492"/>
      <c r="Z157" s="492"/>
    </row>
    <row r="158" spans="1:26" ht="15.6" x14ac:dyDescent="0.3">
      <c r="A158" s="532"/>
      <c r="B158" s="535"/>
      <c r="C158" s="564"/>
      <c r="D158" s="535"/>
      <c r="E158" s="535"/>
      <c r="F158" s="535"/>
      <c r="G158" s="536"/>
      <c r="H158" s="533"/>
      <c r="I158" s="535"/>
      <c r="J158" s="533" t="s">
        <v>26</v>
      </c>
      <c r="K158" s="537">
        <v>19.957000000000001</v>
      </c>
      <c r="L158" s="537">
        <v>20.059999999999999</v>
      </c>
      <c r="M158" s="538">
        <f>L158-K158</f>
        <v>0.10299999999999798</v>
      </c>
      <c r="N158" s="546"/>
      <c r="O158" s="546"/>
      <c r="P158" s="547"/>
      <c r="Q158" s="541"/>
      <c r="R158" s="542"/>
      <c r="S158" s="537"/>
      <c r="T158" s="538"/>
      <c r="U158" s="549" t="s">
        <v>178</v>
      </c>
      <c r="V158" s="550"/>
      <c r="W158" s="551"/>
      <c r="X158" s="492"/>
      <c r="Y158" s="492"/>
      <c r="Z158" s="492"/>
    </row>
    <row r="159" spans="1:26" ht="15.6" x14ac:dyDescent="0.3">
      <c r="A159" s="532"/>
      <c r="B159" s="535"/>
      <c r="C159" s="564"/>
      <c r="D159" s="535"/>
      <c r="E159" s="535"/>
      <c r="F159" s="535"/>
      <c r="G159" s="536"/>
      <c r="H159" s="533"/>
      <c r="I159" s="535"/>
      <c r="J159" s="533" t="s">
        <v>25</v>
      </c>
      <c r="K159" s="537">
        <v>19.739999999999998</v>
      </c>
      <c r="L159" s="537">
        <v>19.863</v>
      </c>
      <c r="M159" s="538">
        <f>L159-K159</f>
        <v>0.12300000000000111</v>
      </c>
      <c r="N159" s="549" t="s">
        <v>18</v>
      </c>
      <c r="O159" s="550"/>
      <c r="P159" s="537">
        <f>N157-O157</f>
        <v>98.10990000000001</v>
      </c>
      <c r="Q159" s="541"/>
      <c r="R159" s="542"/>
      <c r="S159" s="537"/>
      <c r="T159" s="538"/>
      <c r="U159" s="562"/>
      <c r="V159" s="544"/>
      <c r="W159" s="543"/>
      <c r="X159" s="492"/>
      <c r="Y159" s="492"/>
      <c r="Z159" s="492"/>
    </row>
    <row r="160" spans="1:26" ht="15.6" x14ac:dyDescent="0.3">
      <c r="A160" s="532"/>
      <c r="B160" s="535"/>
      <c r="C160" s="564"/>
      <c r="D160" s="535"/>
      <c r="E160" s="535"/>
      <c r="F160" s="535"/>
      <c r="G160" s="536"/>
      <c r="H160" s="533"/>
      <c r="I160" s="535"/>
      <c r="J160" s="533"/>
      <c r="K160" s="537"/>
      <c r="L160" s="537"/>
      <c r="M160" s="538"/>
      <c r="N160" s="533"/>
      <c r="O160" s="536"/>
      <c r="P160" s="537"/>
      <c r="Q160" s="541"/>
      <c r="R160" s="542"/>
      <c r="S160" s="537"/>
      <c r="T160" s="538"/>
      <c r="U160" s="562"/>
      <c r="V160" s="544"/>
      <c r="W160" s="543"/>
      <c r="X160" s="492"/>
      <c r="Y160" s="492"/>
      <c r="Z160" s="492"/>
    </row>
    <row r="161" spans="1:26" ht="15.6" x14ac:dyDescent="0.3">
      <c r="A161" s="570" t="s">
        <v>103</v>
      </c>
      <c r="B161" s="566" t="s">
        <v>104</v>
      </c>
      <c r="C161" s="571">
        <v>37538</v>
      </c>
      <c r="D161" s="566" t="s">
        <v>56</v>
      </c>
      <c r="E161" s="566">
        <v>150</v>
      </c>
      <c r="F161" s="566">
        <v>128</v>
      </c>
      <c r="G161" s="554" t="s">
        <v>107</v>
      </c>
      <c r="H161" s="514" t="s">
        <v>61</v>
      </c>
      <c r="I161" s="523" t="s">
        <v>42</v>
      </c>
      <c r="J161" s="553" t="s">
        <v>24</v>
      </c>
      <c r="K161" s="568">
        <v>22.231999999999999</v>
      </c>
      <c r="L161" s="568">
        <v>22.35</v>
      </c>
      <c r="M161" s="569">
        <f>L161-K161</f>
        <v>0.1180000000000021</v>
      </c>
      <c r="N161" s="490" t="s">
        <v>171</v>
      </c>
      <c r="O161" s="490" t="s">
        <v>170</v>
      </c>
      <c r="P161" s="568"/>
      <c r="Q161" s="556"/>
      <c r="R161" s="572">
        <f>60*SUM(M161:M164)/F161</f>
        <v>0.22218750000000176</v>
      </c>
      <c r="S161" s="568">
        <f>100*SUM(M161:M164)/P164</f>
        <v>0.46741690037512057</v>
      </c>
      <c r="T161" s="569">
        <f>1000*SUM(M161:M164)/P164</f>
        <v>4.6741690037512056</v>
      </c>
      <c r="U161" s="553" t="s">
        <v>42</v>
      </c>
      <c r="V161" s="554" t="s">
        <v>42</v>
      </c>
      <c r="W161" s="555">
        <v>8.1</v>
      </c>
      <c r="X161" s="492"/>
      <c r="Y161" s="492"/>
      <c r="Z161" s="492"/>
    </row>
    <row r="162" spans="1:26" ht="15.6" x14ac:dyDescent="0.3">
      <c r="A162" s="570"/>
      <c r="B162" s="566" t="s">
        <v>57</v>
      </c>
      <c r="C162" s="571"/>
      <c r="D162" s="566"/>
      <c r="E162" s="566"/>
      <c r="F162" s="566"/>
      <c r="G162" s="554" t="s">
        <v>108</v>
      </c>
      <c r="H162" s="514">
        <v>304</v>
      </c>
      <c r="I162" s="523"/>
      <c r="J162" s="553" t="s">
        <v>23</v>
      </c>
      <c r="K162" s="568">
        <v>23.428999999999998</v>
      </c>
      <c r="L162" s="568">
        <v>23.547000000000001</v>
      </c>
      <c r="M162" s="569">
        <f>L162-K162</f>
        <v>0.1180000000000021</v>
      </c>
      <c r="N162" s="553">
        <v>110.78700000000001</v>
      </c>
      <c r="O162" s="554">
        <v>9.3786000000000005</v>
      </c>
      <c r="P162" s="568"/>
      <c r="Q162" s="556"/>
      <c r="R162" s="572"/>
      <c r="S162" s="568"/>
      <c r="T162" s="569"/>
      <c r="U162" s="600"/>
      <c r="V162" s="557"/>
      <c r="W162" s="555"/>
      <c r="X162" s="492"/>
      <c r="Y162" s="492"/>
      <c r="Z162" s="492"/>
    </row>
    <row r="163" spans="1:26" ht="15.6" x14ac:dyDescent="0.3">
      <c r="A163" s="570"/>
      <c r="B163" s="566"/>
      <c r="C163" s="571"/>
      <c r="D163" s="566"/>
      <c r="E163" s="566"/>
      <c r="F163" s="566"/>
      <c r="G163" s="554"/>
      <c r="H163" s="514"/>
      <c r="I163" s="523"/>
      <c r="J163" s="553" t="s">
        <v>26</v>
      </c>
      <c r="K163" s="568">
        <v>21.811</v>
      </c>
      <c r="L163" s="568">
        <v>21.931999999999999</v>
      </c>
      <c r="M163" s="569">
        <f>L163-K163</f>
        <v>0.12099999999999866</v>
      </c>
      <c r="N163" s="492"/>
      <c r="O163" s="492"/>
      <c r="P163" s="493"/>
      <c r="Q163" s="556"/>
      <c r="R163" s="572"/>
      <c r="S163" s="568"/>
      <c r="T163" s="569"/>
      <c r="U163" s="573" t="s">
        <v>178</v>
      </c>
      <c r="V163" s="574"/>
      <c r="W163" s="575"/>
      <c r="X163" s="492"/>
      <c r="Y163" s="492"/>
      <c r="Z163" s="492"/>
    </row>
    <row r="164" spans="1:26" ht="15.6" x14ac:dyDescent="0.3">
      <c r="A164" s="570"/>
      <c r="B164" s="566"/>
      <c r="C164" s="571"/>
      <c r="D164" s="566"/>
      <c r="E164" s="566"/>
      <c r="F164" s="566"/>
      <c r="G164" s="554"/>
      <c r="H164" s="514"/>
      <c r="I164" s="523"/>
      <c r="J164" s="553" t="s">
        <v>25</v>
      </c>
      <c r="K164" s="568">
        <v>21.738</v>
      </c>
      <c r="L164" s="568">
        <v>21.855</v>
      </c>
      <c r="M164" s="569">
        <f>L164-K164</f>
        <v>0.11700000000000088</v>
      </c>
      <c r="N164" s="573" t="s">
        <v>18</v>
      </c>
      <c r="O164" s="574"/>
      <c r="P164" s="568">
        <f>N162-O162</f>
        <v>101.4084</v>
      </c>
      <c r="Q164" s="556"/>
      <c r="R164" s="572"/>
      <c r="S164" s="568"/>
      <c r="T164" s="569"/>
      <c r="U164" s="600"/>
      <c r="V164" s="557"/>
      <c r="W164" s="555"/>
      <c r="X164" s="492"/>
      <c r="Y164" s="492"/>
      <c r="Z164" s="492"/>
    </row>
    <row r="165" spans="1:26" ht="15.6" x14ac:dyDescent="0.3">
      <c r="A165" s="570"/>
      <c r="B165" s="566"/>
      <c r="C165" s="571"/>
      <c r="D165" s="566"/>
      <c r="E165" s="566"/>
      <c r="F165" s="566"/>
      <c r="G165" s="554"/>
      <c r="H165" s="514"/>
      <c r="I165" s="523"/>
      <c r="J165" s="553"/>
      <c r="K165" s="568"/>
      <c r="L165" s="568"/>
      <c r="M165" s="569"/>
      <c r="N165" s="553"/>
      <c r="O165" s="554"/>
      <c r="P165" s="568"/>
      <c r="Q165" s="556"/>
      <c r="R165" s="572"/>
      <c r="S165" s="568"/>
      <c r="T165" s="569"/>
      <c r="U165" s="600"/>
      <c r="V165" s="557"/>
      <c r="W165" s="555"/>
      <c r="X165" s="492"/>
      <c r="Y165" s="492"/>
      <c r="Z165" s="492"/>
    </row>
    <row r="166" spans="1:26" ht="15.6" x14ac:dyDescent="0.3">
      <c r="A166" s="532" t="s">
        <v>135</v>
      </c>
      <c r="B166" s="535" t="s">
        <v>95</v>
      </c>
      <c r="C166" s="564">
        <v>37552</v>
      </c>
      <c r="D166" s="535">
        <v>24</v>
      </c>
      <c r="E166" s="535">
        <v>175</v>
      </c>
      <c r="F166" s="535">
        <v>59.68</v>
      </c>
      <c r="G166" s="536" t="s">
        <v>66</v>
      </c>
      <c r="H166" s="533" t="s">
        <v>61</v>
      </c>
      <c r="I166" s="535" t="s">
        <v>115</v>
      </c>
      <c r="J166" s="533" t="s">
        <v>19</v>
      </c>
      <c r="K166" s="537">
        <v>44.204000000000001</v>
      </c>
      <c r="L166" s="537">
        <v>44.539000000000001</v>
      </c>
      <c r="M166" s="538">
        <f>L166-K166</f>
        <v>0.33500000000000085</v>
      </c>
      <c r="N166" s="533" t="s">
        <v>162</v>
      </c>
      <c r="O166" s="536" t="s">
        <v>169</v>
      </c>
      <c r="P166" s="540" t="s">
        <v>166</v>
      </c>
      <c r="Q166" s="541" t="s">
        <v>167</v>
      </c>
      <c r="R166" s="542">
        <f>60*SUM(M166:M169)/F166</f>
        <v>0.44738605898123351</v>
      </c>
      <c r="S166" s="537">
        <f>100*SUM(M166:M169)/P169</f>
        <v>0.53243867037386616</v>
      </c>
      <c r="T166" s="538">
        <f>1000*SUM(M166:M169)/P169</f>
        <v>5.3243867037386616</v>
      </c>
      <c r="U166" s="533" t="s">
        <v>42</v>
      </c>
      <c r="V166" s="536" t="s">
        <v>42</v>
      </c>
      <c r="W166" s="543" t="s">
        <v>42</v>
      </c>
      <c r="X166" s="492"/>
      <c r="Y166" s="492"/>
      <c r="Z166" s="492"/>
    </row>
    <row r="167" spans="1:26" ht="15.6" x14ac:dyDescent="0.3">
      <c r="A167" s="532"/>
      <c r="B167" s="535" t="s">
        <v>85</v>
      </c>
      <c r="C167" s="564"/>
      <c r="D167" s="535"/>
      <c r="E167" s="535"/>
      <c r="F167" s="535"/>
      <c r="G167" s="536" t="s">
        <v>67</v>
      </c>
      <c r="H167" s="533">
        <v>304</v>
      </c>
      <c r="I167" s="535"/>
      <c r="J167" s="533" t="s">
        <v>8</v>
      </c>
      <c r="K167" s="537">
        <v>20.401</v>
      </c>
      <c r="L167" s="537">
        <v>20.510999999999999</v>
      </c>
      <c r="M167" s="538">
        <f>L167-K167</f>
        <v>0.10999999999999943</v>
      </c>
      <c r="N167" s="533">
        <v>6.4101870078740157</v>
      </c>
      <c r="O167" s="536">
        <v>33.352443961794428</v>
      </c>
      <c r="P167" s="537">
        <v>0.124435</v>
      </c>
      <c r="Q167" s="541">
        <f>N167*3.14159*O167</f>
        <v>671.65750000000003</v>
      </c>
      <c r="R167" s="542"/>
      <c r="S167" s="537"/>
      <c r="T167" s="538"/>
      <c r="U167" s="562"/>
      <c r="V167" s="544"/>
      <c r="W167" s="543"/>
      <c r="X167" s="492"/>
      <c r="Y167" s="492"/>
      <c r="Z167" s="492"/>
    </row>
    <row r="168" spans="1:26" ht="15.6" x14ac:dyDescent="0.3">
      <c r="A168" s="532"/>
      <c r="B168" s="535" t="s">
        <v>116</v>
      </c>
      <c r="C168" s="564"/>
      <c r="D168" s="535"/>
      <c r="E168" s="535"/>
      <c r="F168" s="535"/>
      <c r="G168" s="536"/>
      <c r="H168" s="533"/>
      <c r="I168" s="535"/>
      <c r="J168" s="533"/>
      <c r="K168" s="537"/>
      <c r="L168" s="537"/>
      <c r="M168" s="538">
        <f>L168-K168</f>
        <v>0</v>
      </c>
      <c r="N168" s="610"/>
      <c r="O168" s="536"/>
      <c r="P168" s="547"/>
      <c r="Q168" s="541"/>
      <c r="R168" s="542"/>
      <c r="S168" s="537"/>
      <c r="T168" s="538"/>
      <c r="U168" s="549" t="s">
        <v>179</v>
      </c>
      <c r="V168" s="550"/>
      <c r="W168" s="551"/>
      <c r="X168" s="492"/>
      <c r="Y168" s="492"/>
      <c r="Z168" s="492"/>
    </row>
    <row r="169" spans="1:26" ht="15.6" x14ac:dyDescent="0.3">
      <c r="A169" s="532"/>
      <c r="B169" s="535"/>
      <c r="C169" s="564"/>
      <c r="D169" s="535"/>
      <c r="E169" s="535"/>
      <c r="F169" s="535"/>
      <c r="G169" s="536"/>
      <c r="H169" s="533"/>
      <c r="I169" s="535"/>
      <c r="J169" s="533"/>
      <c r="K169" s="537"/>
      <c r="L169" s="537"/>
      <c r="M169" s="538">
        <f>L169-K169</f>
        <v>0</v>
      </c>
      <c r="N169" s="549" t="s">
        <v>18</v>
      </c>
      <c r="O169" s="550"/>
      <c r="P169" s="537">
        <f>Q167*P167</f>
        <v>83.5777010125</v>
      </c>
      <c r="Q169" s="541" t="s">
        <v>163</v>
      </c>
      <c r="R169" s="542"/>
      <c r="S169" s="537"/>
      <c r="T169" s="538"/>
      <c r="U169" s="549" t="s">
        <v>180</v>
      </c>
      <c r="V169" s="550"/>
      <c r="W169" s="551"/>
      <c r="X169" s="492"/>
      <c r="Y169" s="492"/>
      <c r="Z169" s="492"/>
    </row>
    <row r="170" spans="1:26" ht="15.6" x14ac:dyDescent="0.3">
      <c r="A170" s="532"/>
      <c r="B170" s="535"/>
      <c r="C170" s="564"/>
      <c r="D170" s="535"/>
      <c r="E170" s="535"/>
      <c r="F170" s="535"/>
      <c r="G170" s="536"/>
      <c r="H170" s="533"/>
      <c r="I170" s="535"/>
      <c r="J170" s="533"/>
      <c r="K170" s="537"/>
      <c r="L170" s="537"/>
      <c r="M170" s="538"/>
      <c r="N170" s="610"/>
      <c r="O170" s="536"/>
      <c r="P170" s="537"/>
      <c r="Q170" s="541">
        <f>60*Q167/F166</f>
        <v>675.25888069705104</v>
      </c>
      <c r="R170" s="542"/>
      <c r="S170" s="537"/>
      <c r="T170" s="538"/>
      <c r="U170" s="562"/>
      <c r="V170" s="544"/>
      <c r="W170" s="543"/>
      <c r="X170" s="492"/>
      <c r="Y170" s="492"/>
      <c r="Z170" s="492"/>
    </row>
    <row r="171" spans="1:26" ht="15.6" x14ac:dyDescent="0.3">
      <c r="A171" s="570" t="s">
        <v>132</v>
      </c>
      <c r="B171" s="566" t="s">
        <v>104</v>
      </c>
      <c r="C171" s="571">
        <v>37554</v>
      </c>
      <c r="D171" s="566">
        <v>24</v>
      </c>
      <c r="E171" s="566">
        <v>225</v>
      </c>
      <c r="F171" s="566">
        <v>60.21</v>
      </c>
      <c r="G171" s="513" t="s">
        <v>64</v>
      </c>
      <c r="H171" s="523" t="s">
        <v>6</v>
      </c>
      <c r="I171" s="523" t="s">
        <v>5</v>
      </c>
      <c r="J171" s="553" t="s">
        <v>24</v>
      </c>
      <c r="K171" s="568">
        <v>19.86</v>
      </c>
      <c r="L171" s="568">
        <v>19.978000000000002</v>
      </c>
      <c r="M171" s="569">
        <f>L171-K171</f>
        <v>0.1180000000000021</v>
      </c>
      <c r="N171" s="553" t="s">
        <v>162</v>
      </c>
      <c r="O171" s="554" t="s">
        <v>169</v>
      </c>
      <c r="P171" s="496" t="s">
        <v>166</v>
      </c>
      <c r="Q171" s="556" t="s">
        <v>167</v>
      </c>
      <c r="R171" s="572">
        <f>60*SUM(M171:M174)/F171</f>
        <v>0.47433981066267972</v>
      </c>
      <c r="S171" s="568">
        <f>100*SUM(M171:M174)/P174</f>
        <v>0.61911284101581709</v>
      </c>
      <c r="T171" s="569">
        <f>1000*SUM(M171:M174)/P174</f>
        <v>6.1911284101581714</v>
      </c>
      <c r="U171" s="553">
        <v>0.43</v>
      </c>
      <c r="V171" s="554">
        <v>0.67</v>
      </c>
      <c r="W171" s="555" t="s">
        <v>42</v>
      </c>
      <c r="X171" s="492"/>
      <c r="Y171" s="492"/>
      <c r="Z171" s="492"/>
    </row>
    <row r="172" spans="1:26" ht="15.6" x14ac:dyDescent="0.3">
      <c r="A172" s="570"/>
      <c r="B172" s="566" t="s">
        <v>123</v>
      </c>
      <c r="C172" s="571"/>
      <c r="D172" s="566"/>
      <c r="E172" s="566"/>
      <c r="F172" s="566" t="s">
        <v>125</v>
      </c>
      <c r="G172" s="513" t="s">
        <v>65</v>
      </c>
      <c r="H172" s="523" t="s">
        <v>62</v>
      </c>
      <c r="I172" s="523" t="s">
        <v>128</v>
      </c>
      <c r="J172" s="553" t="s">
        <v>23</v>
      </c>
      <c r="K172" s="568">
        <v>20.852</v>
      </c>
      <c r="L172" s="568">
        <v>20.978000000000002</v>
      </c>
      <c r="M172" s="569">
        <f>L172-K172</f>
        <v>0.12600000000000122</v>
      </c>
      <c r="N172" s="553">
        <v>10.1751968503937</v>
      </c>
      <c r="O172" s="554">
        <f>11+11/12</f>
        <v>11.916666666666666</v>
      </c>
      <c r="P172" s="524">
        <v>0.20183200000000001</v>
      </c>
      <c r="Q172" s="556">
        <f>N172*3.14159*O172</f>
        <v>380.93170202263775</v>
      </c>
      <c r="R172" s="572"/>
      <c r="S172" s="568"/>
      <c r="T172" s="569"/>
      <c r="U172" s="600"/>
      <c r="V172" s="557"/>
      <c r="W172" s="555"/>
      <c r="X172" s="492"/>
      <c r="Y172" s="492"/>
      <c r="Z172" s="492"/>
    </row>
    <row r="173" spans="1:26" ht="15.6" x14ac:dyDescent="0.3">
      <c r="A173" s="570"/>
      <c r="B173" s="566" t="s">
        <v>124</v>
      </c>
      <c r="C173" s="571"/>
      <c r="D173" s="566"/>
      <c r="E173" s="566"/>
      <c r="F173" s="566"/>
      <c r="G173" s="554"/>
      <c r="H173" s="523" t="s">
        <v>63</v>
      </c>
      <c r="I173" s="523"/>
      <c r="J173" s="553" t="s">
        <v>26</v>
      </c>
      <c r="K173" s="568">
        <v>21.42</v>
      </c>
      <c r="L173" s="568">
        <v>21.550999999999998</v>
      </c>
      <c r="M173" s="569">
        <f>L173-K173</f>
        <v>0.13099999999999667</v>
      </c>
      <c r="N173" s="492"/>
      <c r="O173" s="492"/>
      <c r="P173" s="493"/>
      <c r="Q173" s="556"/>
      <c r="R173" s="572"/>
      <c r="S173" s="568"/>
      <c r="T173" s="569"/>
      <c r="U173" s="573" t="s">
        <v>172</v>
      </c>
      <c r="V173" s="574"/>
      <c r="W173" s="575"/>
      <c r="X173" s="492"/>
      <c r="Y173" s="492"/>
      <c r="Z173" s="492"/>
    </row>
    <row r="174" spans="1:26" ht="15.6" x14ac:dyDescent="0.3">
      <c r="A174" s="565"/>
      <c r="B174" s="554"/>
      <c r="C174" s="601"/>
      <c r="D174" s="566"/>
      <c r="E174" s="554"/>
      <c r="F174" s="566"/>
      <c r="G174" s="554"/>
      <c r="H174" s="514"/>
      <c r="I174" s="523"/>
      <c r="J174" s="553" t="s">
        <v>25</v>
      </c>
      <c r="K174" s="568">
        <v>19.452999999999999</v>
      </c>
      <c r="L174" s="568">
        <v>19.553999999999998</v>
      </c>
      <c r="M174" s="554">
        <f>L174-K174</f>
        <v>0.10099999999999909</v>
      </c>
      <c r="N174" s="573" t="s">
        <v>18</v>
      </c>
      <c r="O174" s="574"/>
      <c r="P174" s="568">
        <f>Q172*P172</f>
        <v>76.884207282633028</v>
      </c>
      <c r="Q174" s="556" t="s">
        <v>163</v>
      </c>
      <c r="R174" s="572"/>
      <c r="S174" s="568"/>
      <c r="T174" s="569"/>
      <c r="U174" s="600"/>
      <c r="V174" s="557"/>
      <c r="W174" s="555"/>
      <c r="X174" s="492"/>
      <c r="Y174" s="492"/>
      <c r="Z174" s="492"/>
    </row>
    <row r="175" spans="1:26" ht="15.6" x14ac:dyDescent="0.3">
      <c r="A175" s="565"/>
      <c r="B175" s="554"/>
      <c r="C175" s="601"/>
      <c r="D175" s="566"/>
      <c r="E175" s="554"/>
      <c r="F175" s="566"/>
      <c r="G175" s="554"/>
      <c r="H175" s="514"/>
      <c r="I175" s="523"/>
      <c r="J175" s="553"/>
      <c r="K175" s="568"/>
      <c r="L175" s="568"/>
      <c r="M175" s="554"/>
      <c r="N175" s="553"/>
      <c r="O175" s="554"/>
      <c r="P175" s="568"/>
      <c r="Q175" s="556">
        <f>60*Q172/F171</f>
        <v>379.60309120342572</v>
      </c>
      <c r="R175" s="572"/>
      <c r="S175" s="568"/>
      <c r="T175" s="569"/>
      <c r="U175" s="600"/>
      <c r="V175" s="557"/>
      <c r="W175" s="555"/>
      <c r="X175" s="492"/>
      <c r="Y175" s="492"/>
      <c r="Z175" s="492"/>
    </row>
    <row r="176" spans="1:26" ht="15.6" x14ac:dyDescent="0.3">
      <c r="A176" s="602" t="s">
        <v>133</v>
      </c>
      <c r="B176" s="536" t="s">
        <v>104</v>
      </c>
      <c r="C176" s="534">
        <v>37561</v>
      </c>
      <c r="D176" s="535">
        <v>26</v>
      </c>
      <c r="E176" s="536">
        <v>230</v>
      </c>
      <c r="F176" s="535">
        <v>80.25</v>
      </c>
      <c r="G176" s="536" t="s">
        <v>64</v>
      </c>
      <c r="H176" s="533" t="s">
        <v>6</v>
      </c>
      <c r="I176" s="535" t="s">
        <v>5</v>
      </c>
      <c r="J176" s="533" t="s">
        <v>24</v>
      </c>
      <c r="K176" s="537">
        <v>18.882000000000001</v>
      </c>
      <c r="L176" s="537">
        <v>19.044</v>
      </c>
      <c r="M176" s="536">
        <f>L176-K176</f>
        <v>0.16199999999999903</v>
      </c>
      <c r="N176" s="533" t="s">
        <v>162</v>
      </c>
      <c r="O176" s="536" t="s">
        <v>169</v>
      </c>
      <c r="P176" s="540" t="s">
        <v>166</v>
      </c>
      <c r="Q176" s="541" t="s">
        <v>167</v>
      </c>
      <c r="R176" s="542">
        <f>60*SUM(M176:M179)/F176</f>
        <v>0.52112149532710217</v>
      </c>
      <c r="S176" s="537">
        <f>100*SUM(M176:M179)/P179</f>
        <v>0.93245714456606721</v>
      </c>
      <c r="T176" s="538">
        <f>1000*SUM(M176:M179)/P179</f>
        <v>9.3245714456606734</v>
      </c>
      <c r="U176" s="533">
        <v>0.55000000000000004</v>
      </c>
      <c r="V176" s="536">
        <v>0.88</v>
      </c>
      <c r="W176" s="543" t="s">
        <v>42</v>
      </c>
      <c r="X176" s="492"/>
      <c r="Y176" s="492"/>
      <c r="Z176" s="492"/>
    </row>
    <row r="177" spans="1:26" ht="15.6" x14ac:dyDescent="0.3">
      <c r="A177" s="602"/>
      <c r="B177" s="536" t="s">
        <v>123</v>
      </c>
      <c r="C177" s="534"/>
      <c r="D177" s="535"/>
      <c r="E177" s="536"/>
      <c r="F177" s="535"/>
      <c r="G177" s="536" t="s">
        <v>65</v>
      </c>
      <c r="H177" s="533" t="s">
        <v>62</v>
      </c>
      <c r="I177" s="535" t="s">
        <v>127</v>
      </c>
      <c r="J177" s="533" t="s">
        <v>23</v>
      </c>
      <c r="K177" s="537">
        <v>20.123999999999999</v>
      </c>
      <c r="L177" s="537">
        <v>20.286999999999999</v>
      </c>
      <c r="M177" s="536">
        <f>L177-K177</f>
        <v>0.16300000000000026</v>
      </c>
      <c r="N177" s="533">
        <v>10.214566929133859</v>
      </c>
      <c r="O177" s="536">
        <v>11.541025727612436</v>
      </c>
      <c r="P177" s="537">
        <v>0.20183200000000001</v>
      </c>
      <c r="Q177" s="541">
        <f>N177*3.14159*O177</f>
        <v>370.35130000000015</v>
      </c>
      <c r="R177" s="542"/>
      <c r="S177" s="537"/>
      <c r="T177" s="538"/>
      <c r="U177" s="562"/>
      <c r="V177" s="544"/>
      <c r="W177" s="543"/>
      <c r="X177" s="492"/>
      <c r="Y177" s="492"/>
      <c r="Z177" s="492"/>
    </row>
    <row r="178" spans="1:26" ht="15.6" x14ac:dyDescent="0.3">
      <c r="A178" s="602"/>
      <c r="B178" s="536" t="s">
        <v>124</v>
      </c>
      <c r="C178" s="534"/>
      <c r="D178" s="535"/>
      <c r="E178" s="536"/>
      <c r="F178" s="535"/>
      <c r="G178" s="536"/>
      <c r="H178" s="533" t="s">
        <v>63</v>
      </c>
      <c r="I178" s="535"/>
      <c r="J178" s="533" t="s">
        <v>26</v>
      </c>
      <c r="K178" s="537">
        <v>20.696000000000002</v>
      </c>
      <c r="L178" s="537">
        <v>20.884</v>
      </c>
      <c r="M178" s="536">
        <f>L178-K178</f>
        <v>0.18799999999999883</v>
      </c>
      <c r="N178" s="610"/>
      <c r="O178" s="536"/>
      <c r="P178" s="547"/>
      <c r="Q178" s="541"/>
      <c r="R178" s="542"/>
      <c r="S178" s="537"/>
      <c r="T178" s="538"/>
      <c r="U178" s="549" t="s">
        <v>172</v>
      </c>
      <c r="V178" s="550"/>
      <c r="W178" s="551"/>
      <c r="X178" s="492"/>
      <c r="Y178" s="492"/>
      <c r="Z178" s="492"/>
    </row>
    <row r="179" spans="1:26" ht="15.6" x14ac:dyDescent="0.3">
      <c r="A179" s="602"/>
      <c r="B179" s="536"/>
      <c r="C179" s="534"/>
      <c r="D179" s="535"/>
      <c r="E179" s="536"/>
      <c r="F179" s="535"/>
      <c r="G179" s="536"/>
      <c r="H179" s="533"/>
      <c r="I179" s="535"/>
      <c r="J179" s="533" t="s">
        <v>25</v>
      </c>
      <c r="K179" s="537">
        <v>20.245999999999999</v>
      </c>
      <c r="L179" s="537">
        <v>20.43</v>
      </c>
      <c r="M179" s="536">
        <f>L179-K179</f>
        <v>0.18400000000000105</v>
      </c>
      <c r="N179" s="549" t="s">
        <v>18</v>
      </c>
      <c r="O179" s="550"/>
      <c r="P179" s="537">
        <f>Q177*P177</f>
        <v>74.748743581600039</v>
      </c>
      <c r="Q179" s="541" t="s">
        <v>163</v>
      </c>
      <c r="R179" s="542"/>
      <c r="S179" s="537"/>
      <c r="T179" s="538"/>
      <c r="U179" s="562"/>
      <c r="V179" s="544"/>
      <c r="W179" s="543"/>
      <c r="X179" s="492"/>
      <c r="Y179" s="492"/>
      <c r="Z179" s="492"/>
    </row>
    <row r="180" spans="1:26" ht="15.6" x14ac:dyDescent="0.3">
      <c r="A180" s="602"/>
      <c r="B180" s="536"/>
      <c r="C180" s="534"/>
      <c r="D180" s="535"/>
      <c r="E180" s="536"/>
      <c r="F180" s="535"/>
      <c r="G180" s="536"/>
      <c r="H180" s="533"/>
      <c r="I180" s="535"/>
      <c r="J180" s="533"/>
      <c r="K180" s="537"/>
      <c r="L180" s="537"/>
      <c r="M180" s="536"/>
      <c r="N180" s="610"/>
      <c r="O180" s="536"/>
      <c r="P180" s="537"/>
      <c r="Q180" s="541">
        <f>60*Q177/F176</f>
        <v>276.89816822429918</v>
      </c>
      <c r="R180" s="542"/>
      <c r="S180" s="537"/>
      <c r="T180" s="538"/>
      <c r="U180" s="562"/>
      <c r="V180" s="544"/>
      <c r="W180" s="543"/>
      <c r="X180" s="492"/>
      <c r="Y180" s="492"/>
      <c r="Z180" s="492"/>
    </row>
    <row r="181" spans="1:26" ht="15.6" x14ac:dyDescent="0.3">
      <c r="A181" s="565" t="s">
        <v>134</v>
      </c>
      <c r="B181" s="554" t="s">
        <v>104</v>
      </c>
      <c r="C181" s="601">
        <v>37561</v>
      </c>
      <c r="D181" s="566">
        <v>28</v>
      </c>
      <c r="E181" s="554">
        <v>225</v>
      </c>
      <c r="F181" s="566">
        <v>63</v>
      </c>
      <c r="G181" s="513" t="s">
        <v>64</v>
      </c>
      <c r="H181" s="514" t="s">
        <v>6</v>
      </c>
      <c r="I181" s="523" t="s">
        <v>5</v>
      </c>
      <c r="J181" s="553" t="s">
        <v>24</v>
      </c>
      <c r="K181" s="568">
        <v>19.05</v>
      </c>
      <c r="L181" s="568">
        <v>19.218</v>
      </c>
      <c r="M181" s="554">
        <f>L181-K181</f>
        <v>0.16799999999999926</v>
      </c>
      <c r="N181" s="553" t="s">
        <v>162</v>
      </c>
      <c r="O181" s="554" t="s">
        <v>169</v>
      </c>
      <c r="P181" s="496" t="s">
        <v>166</v>
      </c>
      <c r="Q181" s="556" t="s">
        <v>167</v>
      </c>
      <c r="R181" s="572">
        <f>60*SUM(M181:M184)/F181</f>
        <v>0.61142857142856755</v>
      </c>
      <c r="S181" s="568">
        <f>100*SUM(M181:M184)/P184</f>
        <v>1.0912651552741774</v>
      </c>
      <c r="T181" s="569">
        <f>1000*SUM(M181:M184)/P184</f>
        <v>10.912651552741774</v>
      </c>
      <c r="U181" s="553">
        <v>0.63</v>
      </c>
      <c r="V181" s="554">
        <v>0.99</v>
      </c>
      <c r="W181" s="555" t="s">
        <v>42</v>
      </c>
      <c r="X181" s="492"/>
      <c r="Y181" s="492"/>
      <c r="Z181" s="492"/>
    </row>
    <row r="182" spans="1:26" ht="15.6" x14ac:dyDescent="0.3">
      <c r="A182" s="565"/>
      <c r="B182" s="554" t="s">
        <v>123</v>
      </c>
      <c r="C182" s="601"/>
      <c r="D182" s="566"/>
      <c r="E182" s="554"/>
      <c r="F182" s="566"/>
      <c r="G182" s="513" t="s">
        <v>65</v>
      </c>
      <c r="H182" s="514" t="s">
        <v>62</v>
      </c>
      <c r="I182" s="523" t="s">
        <v>127</v>
      </c>
      <c r="J182" s="553" t="s">
        <v>23</v>
      </c>
      <c r="K182" s="568">
        <v>18.93</v>
      </c>
      <c r="L182" s="568">
        <v>19.097999999999999</v>
      </c>
      <c r="M182" s="554">
        <f>L182-K182</f>
        <v>0.16799999999999926</v>
      </c>
      <c r="N182" s="553">
        <v>10.214566929133859</v>
      </c>
      <c r="O182" s="554">
        <f>9+1/12</f>
        <v>9.0833333333333339</v>
      </c>
      <c r="P182" s="524">
        <v>0.20183200000000001</v>
      </c>
      <c r="Q182" s="556">
        <f>N182*3.14159*O182</f>
        <v>291.48399697998696</v>
      </c>
      <c r="R182" s="572"/>
      <c r="S182" s="568"/>
      <c r="T182" s="569"/>
      <c r="U182" s="600"/>
      <c r="V182" s="557"/>
      <c r="W182" s="555"/>
      <c r="X182" s="492"/>
      <c r="Y182" s="492"/>
      <c r="Z182" s="492"/>
    </row>
    <row r="183" spans="1:26" ht="15.6" x14ac:dyDescent="0.3">
      <c r="A183" s="565"/>
      <c r="B183" s="554" t="s">
        <v>124</v>
      </c>
      <c r="C183" s="601"/>
      <c r="D183" s="566"/>
      <c r="E183" s="554"/>
      <c r="F183" s="566"/>
      <c r="G183" s="554"/>
      <c r="H183" s="514" t="s">
        <v>63</v>
      </c>
      <c r="I183" s="523"/>
      <c r="J183" s="553" t="s">
        <v>26</v>
      </c>
      <c r="K183" s="568">
        <v>19.302</v>
      </c>
      <c r="L183" s="568">
        <v>19.422999999999998</v>
      </c>
      <c r="M183" s="554">
        <f>L183-K183</f>
        <v>0.12099999999999866</v>
      </c>
      <c r="N183" s="563"/>
      <c r="O183" s="492"/>
      <c r="P183" s="493"/>
      <c r="Q183" s="556"/>
      <c r="R183" s="572"/>
      <c r="S183" s="568"/>
      <c r="T183" s="569"/>
      <c r="U183" s="573" t="s">
        <v>172</v>
      </c>
      <c r="V183" s="574"/>
      <c r="W183" s="575"/>
      <c r="X183" s="492"/>
      <c r="Y183" s="492"/>
      <c r="Z183" s="492"/>
    </row>
    <row r="184" spans="1:26" ht="15.6" x14ac:dyDescent="0.3">
      <c r="A184" s="565"/>
      <c r="B184" s="566"/>
      <c r="C184" s="571"/>
      <c r="D184" s="566"/>
      <c r="E184" s="554"/>
      <c r="F184" s="566"/>
      <c r="G184" s="554"/>
      <c r="H184" s="523"/>
      <c r="I184" s="513"/>
      <c r="J184" s="553" t="s">
        <v>25</v>
      </c>
      <c r="K184" s="568">
        <v>18.067</v>
      </c>
      <c r="L184" s="568">
        <v>18.251999999999999</v>
      </c>
      <c r="M184" s="554">
        <f>L184-K184</f>
        <v>0.18499999999999872</v>
      </c>
      <c r="N184" s="573" t="s">
        <v>18</v>
      </c>
      <c r="O184" s="574"/>
      <c r="P184" s="568">
        <f>Q182*P182</f>
        <v>58.830798078464731</v>
      </c>
      <c r="Q184" s="556" t="s">
        <v>163</v>
      </c>
      <c r="R184" s="572"/>
      <c r="S184" s="568"/>
      <c r="T184" s="569"/>
      <c r="U184" s="557"/>
      <c r="V184" s="557"/>
      <c r="W184" s="555"/>
      <c r="X184" s="492"/>
      <c r="Y184" s="492"/>
      <c r="Z184" s="492"/>
    </row>
    <row r="185" spans="1:26" ht="16.2" thickBot="1" x14ac:dyDescent="0.35">
      <c r="A185" s="603"/>
      <c r="B185" s="578"/>
      <c r="C185" s="579"/>
      <c r="D185" s="578"/>
      <c r="E185" s="589"/>
      <c r="F185" s="578"/>
      <c r="G185" s="589"/>
      <c r="H185" s="605"/>
      <c r="I185" s="580"/>
      <c r="J185" s="582"/>
      <c r="K185" s="583"/>
      <c r="L185" s="583"/>
      <c r="M185" s="589"/>
      <c r="N185" s="582"/>
      <c r="O185" s="589"/>
      <c r="P185" s="583"/>
      <c r="Q185" s="586">
        <f>60*Q182/F181</f>
        <v>277.60380664760663</v>
      </c>
      <c r="R185" s="587"/>
      <c r="S185" s="583"/>
      <c r="T185" s="588"/>
      <c r="U185" s="609"/>
      <c r="V185" s="609"/>
      <c r="W185" s="590"/>
      <c r="X185" s="492"/>
      <c r="Y185" s="492"/>
      <c r="Z185" s="492"/>
    </row>
    <row r="186" spans="1:26" ht="15.6" x14ac:dyDescent="0.3">
      <c r="A186" s="490"/>
      <c r="B186" s="490"/>
      <c r="C186" s="495"/>
      <c r="D186" s="490"/>
      <c r="E186" s="490"/>
      <c r="F186" s="490"/>
      <c r="G186" s="490"/>
      <c r="H186" s="490"/>
      <c r="I186" s="490"/>
      <c r="J186" s="490"/>
      <c r="K186" s="496"/>
      <c r="L186" s="496"/>
      <c r="M186" s="591"/>
      <c r="N186" s="490"/>
      <c r="O186" s="490"/>
      <c r="P186" s="496"/>
      <c r="Q186" s="497"/>
      <c r="R186" s="496"/>
      <c r="S186" s="496"/>
      <c r="T186" s="490"/>
      <c r="U186" s="492"/>
      <c r="V186" s="492"/>
      <c r="W186" s="492"/>
      <c r="X186" s="492"/>
      <c r="Y186" s="492"/>
      <c r="Z186" s="492"/>
    </row>
    <row r="187" spans="1:26" ht="15.6" x14ac:dyDescent="0.3">
      <c r="A187" s="492" t="s">
        <v>161</v>
      </c>
      <c r="B187" s="490"/>
      <c r="C187" s="495"/>
      <c r="D187" s="490"/>
      <c r="E187" s="490"/>
      <c r="F187" s="490"/>
      <c r="G187" s="490"/>
      <c r="H187" s="490"/>
      <c r="I187" s="490"/>
      <c r="J187" s="490"/>
      <c r="K187" s="496"/>
      <c r="L187" s="496"/>
      <c r="M187" s="591"/>
      <c r="N187" s="490"/>
      <c r="O187" s="490"/>
      <c r="P187" s="496"/>
      <c r="Q187" s="497"/>
      <c r="R187" s="496"/>
      <c r="S187" s="496"/>
      <c r="T187" s="490"/>
      <c r="U187" s="492"/>
      <c r="V187" s="492"/>
      <c r="W187" s="492"/>
      <c r="X187" s="492"/>
      <c r="Y187" s="492"/>
      <c r="Z187" s="492"/>
    </row>
    <row r="188" spans="1:26" ht="15.6" x14ac:dyDescent="0.3">
      <c r="A188" s="596" t="s">
        <v>98</v>
      </c>
      <c r="B188" s="490"/>
      <c r="C188" s="495"/>
      <c r="D188" s="490"/>
      <c r="E188" s="490"/>
      <c r="F188" s="490"/>
      <c r="G188" s="490"/>
      <c r="H188" s="490"/>
      <c r="I188" s="490"/>
      <c r="J188" s="490"/>
      <c r="K188" s="496"/>
      <c r="L188" s="496"/>
      <c r="M188" s="591"/>
      <c r="N188" s="490"/>
      <c r="O188" s="490"/>
      <c r="P188" s="496"/>
      <c r="Q188" s="497"/>
      <c r="R188" s="496"/>
      <c r="S188" s="496"/>
      <c r="T188" s="490"/>
      <c r="U188" s="492"/>
      <c r="V188" s="492"/>
      <c r="W188" s="492"/>
      <c r="X188" s="492"/>
      <c r="Y188" s="492"/>
      <c r="Z188" s="492"/>
    </row>
    <row r="189" spans="1:26" ht="15.6" x14ac:dyDescent="0.3">
      <c r="A189" s="596" t="s">
        <v>105</v>
      </c>
      <c r="B189" s="490"/>
      <c r="C189" s="495"/>
      <c r="D189" s="490"/>
      <c r="E189" s="490"/>
      <c r="F189" s="490"/>
      <c r="G189" s="490"/>
      <c r="H189" s="490"/>
      <c r="I189" s="490"/>
      <c r="J189" s="490"/>
      <c r="K189" s="496"/>
      <c r="L189" s="496"/>
      <c r="M189" s="490"/>
      <c r="N189" s="490"/>
      <c r="O189" s="490"/>
      <c r="P189" s="496"/>
      <c r="Q189" s="497"/>
      <c r="R189" s="496"/>
      <c r="S189" s="496"/>
      <c r="T189" s="490"/>
      <c r="U189" s="492"/>
      <c r="V189" s="492"/>
      <c r="W189" s="492"/>
      <c r="X189" s="492"/>
      <c r="Y189" s="492"/>
      <c r="Z189" s="492"/>
    </row>
    <row r="190" spans="1:26" ht="15.6" x14ac:dyDescent="0.3">
      <c r="A190" s="596" t="s">
        <v>131</v>
      </c>
      <c r="B190" s="490"/>
      <c r="C190" s="495"/>
      <c r="D190" s="490"/>
      <c r="E190" s="490"/>
      <c r="F190" s="490"/>
      <c r="G190" s="490"/>
      <c r="H190" s="490"/>
      <c r="I190" s="490"/>
      <c r="J190" s="490"/>
      <c r="K190" s="496"/>
      <c r="L190" s="496"/>
      <c r="M190" s="490"/>
      <c r="N190" s="490"/>
      <c r="O190" s="490"/>
      <c r="P190" s="496"/>
      <c r="Q190" s="497"/>
      <c r="R190" s="496"/>
      <c r="S190" s="496"/>
      <c r="T190" s="490"/>
      <c r="U190" s="492"/>
      <c r="V190" s="492"/>
      <c r="W190" s="492"/>
      <c r="X190" s="492"/>
      <c r="Y190" s="492"/>
      <c r="Z190" s="492"/>
    </row>
    <row r="191" spans="1:26" ht="15.6" x14ac:dyDescent="0.3">
      <c r="A191" s="492"/>
      <c r="B191" s="490"/>
      <c r="C191" s="491"/>
      <c r="D191" s="492"/>
      <c r="E191" s="490"/>
      <c r="F191" s="492"/>
      <c r="G191" s="490"/>
      <c r="H191" s="490"/>
      <c r="I191" s="490"/>
      <c r="J191" s="492"/>
      <c r="K191" s="493"/>
      <c r="L191" s="493"/>
      <c r="M191" s="492"/>
      <c r="N191" s="492"/>
      <c r="O191" s="492"/>
      <c r="P191" s="493"/>
      <c r="Q191" s="494"/>
      <c r="R191" s="493"/>
      <c r="S191" s="493"/>
      <c r="T191" s="492"/>
      <c r="U191" s="492"/>
      <c r="V191" s="492"/>
      <c r="W191" s="492"/>
      <c r="X191" s="492"/>
      <c r="Y191" s="492"/>
      <c r="Z191" s="492"/>
    </row>
    <row r="192" spans="1:26" ht="15.6" x14ac:dyDescent="0.3">
      <c r="A192" s="489" t="s">
        <v>130</v>
      </c>
      <c r="B192" s="591"/>
      <c r="C192" s="592"/>
      <c r="D192" s="591"/>
      <c r="E192" s="591"/>
      <c r="F192" s="591"/>
      <c r="G192" s="591"/>
      <c r="H192" s="490"/>
      <c r="I192" s="490"/>
      <c r="J192" s="591"/>
      <c r="K192" s="593"/>
      <c r="L192" s="593"/>
      <c r="M192" s="591"/>
      <c r="N192" s="591"/>
      <c r="O192" s="591"/>
      <c r="P192" s="593"/>
      <c r="Q192" s="594"/>
      <c r="R192" s="593"/>
      <c r="S192" s="593"/>
      <c r="T192" s="591"/>
      <c r="U192" s="492"/>
      <c r="V192" s="492"/>
      <c r="W192" s="492"/>
      <c r="X192" s="492"/>
      <c r="Y192" s="492"/>
      <c r="Z192" s="492"/>
    </row>
    <row r="193" spans="1:26" ht="15.6" x14ac:dyDescent="0.3">
      <c r="A193" s="490"/>
      <c r="B193" s="591"/>
      <c r="C193" s="592"/>
      <c r="D193" s="591"/>
      <c r="E193" s="591"/>
      <c r="F193" s="591"/>
      <c r="G193" s="591"/>
      <c r="H193" s="490"/>
      <c r="I193" s="490"/>
      <c r="J193" s="591"/>
      <c r="K193" s="593"/>
      <c r="L193" s="593"/>
      <c r="M193" s="591"/>
      <c r="N193" s="591"/>
      <c r="O193" s="591"/>
      <c r="P193" s="593"/>
      <c r="Q193" s="594"/>
      <c r="R193" s="593"/>
      <c r="S193" s="593"/>
      <c r="T193" s="591"/>
      <c r="U193" s="492"/>
      <c r="V193" s="492"/>
      <c r="W193" s="492"/>
      <c r="X193" s="492"/>
      <c r="Y193" s="492"/>
      <c r="Z193" s="492"/>
    </row>
    <row r="194" spans="1:26" ht="16.2" thickBot="1" x14ac:dyDescent="0.35">
      <c r="A194" s="490"/>
      <c r="B194" s="591"/>
      <c r="C194" s="592"/>
      <c r="D194" s="591"/>
      <c r="E194" s="591"/>
      <c r="F194" s="591"/>
      <c r="G194" s="591"/>
      <c r="H194" s="490"/>
      <c r="I194" s="490"/>
      <c r="J194" s="591"/>
      <c r="K194" s="593"/>
      <c r="L194" s="593"/>
      <c r="M194" s="591"/>
      <c r="N194" s="591"/>
      <c r="O194" s="591"/>
      <c r="P194" s="593"/>
      <c r="Q194" s="594"/>
      <c r="R194" s="593"/>
      <c r="S194" s="593"/>
      <c r="T194" s="591"/>
      <c r="U194" s="492"/>
      <c r="V194" s="492"/>
      <c r="W194" s="492"/>
      <c r="X194" s="492"/>
      <c r="Y194" s="492"/>
      <c r="Z194" s="492"/>
    </row>
    <row r="195" spans="1:26" ht="15.6" x14ac:dyDescent="0.3">
      <c r="A195" s="498" t="s">
        <v>21</v>
      </c>
      <c r="B195" s="501" t="s">
        <v>16</v>
      </c>
      <c r="C195" s="597" t="s">
        <v>7</v>
      </c>
      <c r="D195" s="501" t="s">
        <v>58</v>
      </c>
      <c r="E195" s="501" t="s">
        <v>59</v>
      </c>
      <c r="F195" s="501" t="s">
        <v>60</v>
      </c>
      <c r="G195" s="502" t="s">
        <v>14</v>
      </c>
      <c r="H195" s="499" t="s">
        <v>3</v>
      </c>
      <c r="I195" s="501" t="s">
        <v>82</v>
      </c>
      <c r="J195" s="503" t="s">
        <v>13</v>
      </c>
      <c r="K195" s="504"/>
      <c r="L195" s="504"/>
      <c r="M195" s="505"/>
      <c r="N195" s="503" t="s">
        <v>168</v>
      </c>
      <c r="O195" s="504"/>
      <c r="P195" s="504"/>
      <c r="Q195" s="505"/>
      <c r="R195" s="503" t="s">
        <v>30</v>
      </c>
      <c r="S195" s="504"/>
      <c r="T195" s="505"/>
      <c r="U195" s="506" t="s">
        <v>31</v>
      </c>
      <c r="V195" s="507"/>
      <c r="W195" s="508"/>
      <c r="X195" s="492"/>
      <c r="Y195" s="492"/>
      <c r="Z195" s="492"/>
    </row>
    <row r="196" spans="1:26" ht="15.6" x14ac:dyDescent="0.3">
      <c r="A196" s="509"/>
      <c r="B196" s="512"/>
      <c r="C196" s="598"/>
      <c r="D196" s="512"/>
      <c r="E196" s="512"/>
      <c r="F196" s="512"/>
      <c r="G196" s="517"/>
      <c r="H196" s="514"/>
      <c r="I196" s="523"/>
      <c r="J196" s="510"/>
      <c r="K196" s="515" t="s">
        <v>10</v>
      </c>
      <c r="L196" s="515" t="s">
        <v>11</v>
      </c>
      <c r="M196" s="516" t="s">
        <v>12</v>
      </c>
      <c r="N196" s="510"/>
      <c r="O196" s="517"/>
      <c r="P196" s="515"/>
      <c r="Q196" s="518"/>
      <c r="R196" s="519" t="s">
        <v>9</v>
      </c>
      <c r="S196" s="515" t="s">
        <v>15</v>
      </c>
      <c r="T196" s="516" t="s">
        <v>20</v>
      </c>
      <c r="U196" s="519" t="s">
        <v>9</v>
      </c>
      <c r="V196" s="515" t="s">
        <v>15</v>
      </c>
      <c r="W196" s="520" t="s">
        <v>20</v>
      </c>
      <c r="X196" s="492"/>
      <c r="Y196" s="492"/>
      <c r="Z196" s="492"/>
    </row>
    <row r="197" spans="1:26" ht="15.6" x14ac:dyDescent="0.3">
      <c r="A197" s="521"/>
      <c r="B197" s="514"/>
      <c r="C197" s="522"/>
      <c r="D197" s="514" t="s">
        <v>74</v>
      </c>
      <c r="E197" s="514" t="s">
        <v>75</v>
      </c>
      <c r="F197" s="523" t="s">
        <v>76</v>
      </c>
      <c r="G197" s="523"/>
      <c r="H197" s="513"/>
      <c r="I197" s="523"/>
      <c r="J197" s="514"/>
      <c r="K197" s="524" t="s">
        <v>4</v>
      </c>
      <c r="L197" s="524" t="s">
        <v>4</v>
      </c>
      <c r="M197" s="513" t="s">
        <v>4</v>
      </c>
      <c r="N197" s="514"/>
      <c r="O197" s="513"/>
      <c r="P197" s="513"/>
      <c r="Q197" s="525"/>
      <c r="R197" s="526"/>
      <c r="S197" s="524"/>
      <c r="T197" s="527"/>
      <c r="U197" s="526"/>
      <c r="V197" s="524"/>
      <c r="W197" s="528"/>
      <c r="X197" s="492"/>
      <c r="Y197" s="492"/>
      <c r="Z197" s="492"/>
    </row>
    <row r="198" spans="1:26" ht="15.6" x14ac:dyDescent="0.3">
      <c r="A198" s="521"/>
      <c r="B198" s="566"/>
      <c r="C198" s="571"/>
      <c r="D198" s="566"/>
      <c r="E198" s="566"/>
      <c r="F198" s="566"/>
      <c r="G198" s="554"/>
      <c r="H198" s="514"/>
      <c r="I198" s="523"/>
      <c r="J198" s="553"/>
      <c r="K198" s="568"/>
      <c r="L198" s="568"/>
      <c r="M198" s="569"/>
      <c r="N198" s="553"/>
      <c r="O198" s="554"/>
      <c r="P198" s="568"/>
      <c r="Q198" s="556"/>
      <c r="R198" s="572" t="s">
        <v>1</v>
      </c>
      <c r="S198" s="568"/>
      <c r="T198" s="569"/>
      <c r="U198" s="563"/>
      <c r="V198" s="530"/>
      <c r="W198" s="531"/>
      <c r="X198" s="492"/>
      <c r="Y198" s="492"/>
      <c r="Z198" s="492"/>
    </row>
    <row r="199" spans="1:26" ht="15.6" x14ac:dyDescent="0.3">
      <c r="A199" s="532">
        <v>31</v>
      </c>
      <c r="B199" s="535" t="s">
        <v>95</v>
      </c>
      <c r="C199" s="564">
        <v>37580</v>
      </c>
      <c r="D199" s="535">
        <v>24</v>
      </c>
      <c r="E199" s="535">
        <v>200</v>
      </c>
      <c r="F199" s="535">
        <v>83</v>
      </c>
      <c r="G199" s="536" t="s">
        <v>66</v>
      </c>
      <c r="H199" s="533" t="s">
        <v>61</v>
      </c>
      <c r="I199" s="535" t="s">
        <v>115</v>
      </c>
      <c r="J199" s="533" t="s">
        <v>19</v>
      </c>
      <c r="K199" s="537">
        <v>45.228000000000002</v>
      </c>
      <c r="L199" s="537">
        <v>45.475000000000001</v>
      </c>
      <c r="M199" s="538">
        <f>L199-K199</f>
        <v>0.24699999999999989</v>
      </c>
      <c r="N199" s="533" t="s">
        <v>162</v>
      </c>
      <c r="O199" s="536" t="s">
        <v>169</v>
      </c>
      <c r="P199" s="540" t="s">
        <v>166</v>
      </c>
      <c r="Q199" s="541" t="s">
        <v>167</v>
      </c>
      <c r="R199" s="542">
        <f>60*SUM(M199:M202)/F199</f>
        <v>0.25373493975903549</v>
      </c>
      <c r="S199" s="537">
        <f>100*SUM(M199:M202)/P202</f>
        <v>0.40797015065612929</v>
      </c>
      <c r="T199" s="538">
        <f>1000*SUM(M199:M202)/P202</f>
        <v>4.0797015065612934</v>
      </c>
      <c r="U199" s="533" t="s">
        <v>42</v>
      </c>
      <c r="V199" s="536" t="s">
        <v>42</v>
      </c>
      <c r="W199" s="543">
        <v>4.8</v>
      </c>
      <c r="X199" s="492"/>
      <c r="Y199" s="492"/>
      <c r="Z199" s="492"/>
    </row>
    <row r="200" spans="1:26" ht="15.6" x14ac:dyDescent="0.3">
      <c r="A200" s="532"/>
      <c r="B200" s="535" t="s">
        <v>85</v>
      </c>
      <c r="C200" s="564"/>
      <c r="D200" s="535"/>
      <c r="E200" s="535"/>
      <c r="F200" s="535"/>
      <c r="G200" s="536" t="s">
        <v>67</v>
      </c>
      <c r="H200" s="533">
        <v>304</v>
      </c>
      <c r="I200" s="535" t="s">
        <v>127</v>
      </c>
      <c r="J200" s="533" t="s">
        <v>8</v>
      </c>
      <c r="K200" s="537">
        <v>19.317</v>
      </c>
      <c r="L200" s="537">
        <v>19.420999999999999</v>
      </c>
      <c r="M200" s="538">
        <f>L200-K200</f>
        <v>0.1039999999999992</v>
      </c>
      <c r="N200" s="533">
        <v>6.4101870078740157</v>
      </c>
      <c r="O200" s="536">
        <f>34+1/3</f>
        <v>34.333333333333336</v>
      </c>
      <c r="P200" s="537">
        <v>0.124435</v>
      </c>
      <c r="Q200" s="541">
        <f>N200*3.14159*O200</f>
        <v>691.41082613763126</v>
      </c>
      <c r="R200" s="542"/>
      <c r="S200" s="537"/>
      <c r="T200" s="538"/>
      <c r="U200" s="533"/>
      <c r="V200" s="536"/>
      <c r="W200" s="543"/>
      <c r="X200" s="492"/>
      <c r="Y200" s="492"/>
      <c r="Z200" s="492"/>
    </row>
    <row r="201" spans="1:26" ht="15.6" x14ac:dyDescent="0.3">
      <c r="A201" s="532"/>
      <c r="B201" s="535" t="s">
        <v>86</v>
      </c>
      <c r="C201" s="564"/>
      <c r="D201" s="535"/>
      <c r="E201" s="535"/>
      <c r="F201" s="535"/>
      <c r="G201" s="536"/>
      <c r="H201" s="533"/>
      <c r="I201" s="535"/>
      <c r="J201" s="533"/>
      <c r="K201" s="537"/>
      <c r="L201" s="537"/>
      <c r="M201" s="538">
        <f>L201-K201</f>
        <v>0</v>
      </c>
      <c r="N201" s="610"/>
      <c r="O201" s="536"/>
      <c r="P201" s="547"/>
      <c r="Q201" s="541"/>
      <c r="R201" s="542"/>
      <c r="S201" s="537"/>
      <c r="T201" s="538"/>
      <c r="U201" s="549" t="s">
        <v>175</v>
      </c>
      <c r="V201" s="550"/>
      <c r="W201" s="551"/>
      <c r="X201" s="492"/>
      <c r="Y201" s="492"/>
      <c r="Z201" s="492"/>
    </row>
    <row r="202" spans="1:26" ht="15.6" x14ac:dyDescent="0.3">
      <c r="A202" s="532"/>
      <c r="B202" s="535"/>
      <c r="C202" s="564"/>
      <c r="D202" s="535"/>
      <c r="E202" s="535"/>
      <c r="F202" s="535"/>
      <c r="G202" s="536"/>
      <c r="H202" s="533"/>
      <c r="I202" s="535"/>
      <c r="J202" s="533"/>
      <c r="K202" s="537"/>
      <c r="L202" s="537"/>
      <c r="M202" s="538">
        <f>L202-K202</f>
        <v>0</v>
      </c>
      <c r="N202" s="549" t="s">
        <v>18</v>
      </c>
      <c r="O202" s="550"/>
      <c r="P202" s="537">
        <f>Q200*P200</f>
        <v>86.035706150436155</v>
      </c>
      <c r="Q202" s="541" t="s">
        <v>163</v>
      </c>
      <c r="R202" s="542"/>
      <c r="S202" s="537"/>
      <c r="T202" s="538"/>
      <c r="U202" s="533"/>
      <c r="V202" s="536"/>
      <c r="W202" s="543"/>
      <c r="X202" s="492"/>
      <c r="Y202" s="492"/>
      <c r="Z202" s="492"/>
    </row>
    <row r="203" spans="1:26" ht="15.6" x14ac:dyDescent="0.3">
      <c r="A203" s="532"/>
      <c r="B203" s="535"/>
      <c r="C203" s="564"/>
      <c r="D203" s="535"/>
      <c r="E203" s="535"/>
      <c r="F203" s="535"/>
      <c r="G203" s="536"/>
      <c r="H203" s="533"/>
      <c r="I203" s="535"/>
      <c r="J203" s="533"/>
      <c r="K203" s="537"/>
      <c r="L203" s="537"/>
      <c r="M203" s="538"/>
      <c r="N203" s="610"/>
      <c r="O203" s="536"/>
      <c r="P203" s="537"/>
      <c r="Q203" s="541">
        <f>60*Q200/F199</f>
        <v>499.81505503925149</v>
      </c>
      <c r="R203" s="542"/>
      <c r="S203" s="537"/>
      <c r="T203" s="538"/>
      <c r="U203" s="533"/>
      <c r="V203" s="536"/>
      <c r="W203" s="543"/>
      <c r="X203" s="492"/>
      <c r="Y203" s="492"/>
      <c r="Z203" s="492"/>
    </row>
    <row r="204" spans="1:26" ht="15.6" x14ac:dyDescent="0.3">
      <c r="A204" s="570">
        <v>32</v>
      </c>
      <c r="B204" s="566" t="s">
        <v>136</v>
      </c>
      <c r="C204" s="571">
        <v>37585</v>
      </c>
      <c r="D204" s="566" t="s">
        <v>56</v>
      </c>
      <c r="E204" s="566">
        <v>150</v>
      </c>
      <c r="F204" s="566">
        <v>141</v>
      </c>
      <c r="G204" s="513" t="s">
        <v>107</v>
      </c>
      <c r="H204" s="514" t="s">
        <v>61</v>
      </c>
      <c r="I204" s="523" t="s">
        <v>42</v>
      </c>
      <c r="J204" s="553" t="s">
        <v>24</v>
      </c>
      <c r="K204" s="568">
        <v>19.483000000000001</v>
      </c>
      <c r="L204" s="568">
        <v>19.613</v>
      </c>
      <c r="M204" s="569">
        <f>L204-K204</f>
        <v>0.12999999999999901</v>
      </c>
      <c r="N204" s="490" t="s">
        <v>171</v>
      </c>
      <c r="O204" s="490" t="s">
        <v>170</v>
      </c>
      <c r="P204" s="568"/>
      <c r="Q204" s="556"/>
      <c r="R204" s="572">
        <f>60*SUM(M204:M207)/F204</f>
        <v>0.20255319148936132</v>
      </c>
      <c r="S204" s="568">
        <f>100*SUM(M204:M207)/P207</f>
        <v>0.48575393909706827</v>
      </c>
      <c r="T204" s="569">
        <f>1000*SUM(M204:M207)/P207</f>
        <v>4.8575393909706825</v>
      </c>
      <c r="U204" s="553" t="s">
        <v>42</v>
      </c>
      <c r="V204" s="554" t="s">
        <v>42</v>
      </c>
      <c r="W204" s="555">
        <v>8.1</v>
      </c>
      <c r="X204" s="492"/>
      <c r="Y204" s="492"/>
      <c r="Z204" s="492"/>
    </row>
    <row r="205" spans="1:26" ht="15.6" x14ac:dyDescent="0.3">
      <c r="A205" s="570"/>
      <c r="B205" s="566" t="s">
        <v>57</v>
      </c>
      <c r="C205" s="571"/>
      <c r="D205" s="566"/>
      <c r="E205" s="566"/>
      <c r="F205" s="566"/>
      <c r="G205" s="513" t="s">
        <v>108</v>
      </c>
      <c r="H205" s="514">
        <v>304</v>
      </c>
      <c r="I205" s="523"/>
      <c r="J205" s="553" t="s">
        <v>23</v>
      </c>
      <c r="K205" s="568">
        <v>20.260999999999999</v>
      </c>
      <c r="L205" s="568">
        <v>20.393000000000001</v>
      </c>
      <c r="M205" s="569">
        <f>L205-K205</f>
        <v>0.13200000000000145</v>
      </c>
      <c r="N205" s="553">
        <f>55.415+55.369</f>
        <v>110.78399999999999</v>
      </c>
      <c r="O205" s="554">
        <v>12.792</v>
      </c>
      <c r="P205" s="568"/>
      <c r="Q205" s="556"/>
      <c r="R205" s="572"/>
      <c r="S205" s="568"/>
      <c r="T205" s="569"/>
      <c r="U205" s="553"/>
      <c r="V205" s="554"/>
      <c r="W205" s="555"/>
      <c r="X205" s="492"/>
      <c r="Y205" s="492"/>
      <c r="Z205" s="492"/>
    </row>
    <row r="206" spans="1:26" ht="15.6" x14ac:dyDescent="0.3">
      <c r="A206" s="570"/>
      <c r="B206" s="566"/>
      <c r="C206" s="571"/>
      <c r="D206" s="566"/>
      <c r="E206" s="566"/>
      <c r="F206" s="566"/>
      <c r="G206" s="554"/>
      <c r="H206" s="514"/>
      <c r="I206" s="523"/>
      <c r="J206" s="553" t="s">
        <v>26</v>
      </c>
      <c r="K206" s="568">
        <v>18.603999999999999</v>
      </c>
      <c r="L206" s="568">
        <v>18.690999999999999</v>
      </c>
      <c r="M206" s="569">
        <f>L206-K206</f>
        <v>8.6999999999999744E-2</v>
      </c>
      <c r="N206" s="492"/>
      <c r="O206" s="492"/>
      <c r="P206" s="493"/>
      <c r="Q206" s="556"/>
      <c r="R206" s="572"/>
      <c r="S206" s="568"/>
      <c r="T206" s="569"/>
      <c r="U206" s="573" t="s">
        <v>178</v>
      </c>
      <c r="V206" s="574"/>
      <c r="W206" s="575"/>
      <c r="X206" s="492"/>
      <c r="Y206" s="492"/>
      <c r="Z206" s="492"/>
    </row>
    <row r="207" spans="1:26" ht="15.6" x14ac:dyDescent="0.3">
      <c r="A207" s="570"/>
      <c r="B207" s="566"/>
      <c r="C207" s="571"/>
      <c r="D207" s="566"/>
      <c r="E207" s="566"/>
      <c r="F207" s="566"/>
      <c r="G207" s="554"/>
      <c r="H207" s="514"/>
      <c r="I207" s="523"/>
      <c r="J207" s="553" t="s">
        <v>25</v>
      </c>
      <c r="K207" s="568">
        <v>20.498000000000001</v>
      </c>
      <c r="L207" s="568">
        <v>20.625</v>
      </c>
      <c r="M207" s="569">
        <f>L207-K207</f>
        <v>0.12699999999999889</v>
      </c>
      <c r="N207" s="573" t="s">
        <v>18</v>
      </c>
      <c r="O207" s="574"/>
      <c r="P207" s="568">
        <f>N205-O205</f>
        <v>97.99199999999999</v>
      </c>
      <c r="Q207" s="556"/>
      <c r="R207" s="572"/>
      <c r="S207" s="568"/>
      <c r="T207" s="569"/>
      <c r="U207" s="553"/>
      <c r="V207" s="554"/>
      <c r="W207" s="555"/>
      <c r="X207" s="492"/>
      <c r="Y207" s="492"/>
      <c r="Z207" s="492"/>
    </row>
    <row r="208" spans="1:26" ht="15.6" x14ac:dyDescent="0.3">
      <c r="A208" s="570"/>
      <c r="B208" s="566"/>
      <c r="C208" s="571"/>
      <c r="D208" s="566"/>
      <c r="E208" s="566"/>
      <c r="F208" s="566"/>
      <c r="G208" s="554"/>
      <c r="H208" s="514"/>
      <c r="I208" s="523"/>
      <c r="J208" s="553"/>
      <c r="K208" s="568"/>
      <c r="L208" s="568"/>
      <c r="M208" s="569"/>
      <c r="N208" s="553"/>
      <c r="O208" s="554"/>
      <c r="P208" s="568"/>
      <c r="Q208" s="556"/>
      <c r="R208" s="572"/>
      <c r="S208" s="568"/>
      <c r="T208" s="569"/>
      <c r="U208" s="553"/>
      <c r="V208" s="554"/>
      <c r="W208" s="555"/>
      <c r="X208" s="492"/>
      <c r="Y208" s="492"/>
      <c r="Z208" s="492"/>
    </row>
    <row r="209" spans="1:26" ht="15.6" x14ac:dyDescent="0.3">
      <c r="A209" s="532">
        <v>33</v>
      </c>
      <c r="B209" s="535" t="s">
        <v>104</v>
      </c>
      <c r="C209" s="564">
        <v>37586</v>
      </c>
      <c r="D209" s="535">
        <v>24</v>
      </c>
      <c r="E209" s="535">
        <v>225</v>
      </c>
      <c r="F209" s="535">
        <v>85</v>
      </c>
      <c r="G209" s="536" t="s">
        <v>64</v>
      </c>
      <c r="H209" s="533" t="s">
        <v>6</v>
      </c>
      <c r="I209" s="535" t="s">
        <v>5</v>
      </c>
      <c r="J209" s="533" t="s">
        <v>24</v>
      </c>
      <c r="K209" s="537">
        <v>21.14</v>
      </c>
      <c r="L209" s="537">
        <v>21.260999999999999</v>
      </c>
      <c r="M209" s="538">
        <f>L209-K209</f>
        <v>0.12099999999999866</v>
      </c>
      <c r="N209" s="533" t="s">
        <v>162</v>
      </c>
      <c r="O209" s="536" t="s">
        <v>169</v>
      </c>
      <c r="P209" s="540" t="s">
        <v>166</v>
      </c>
      <c r="Q209" s="541" t="s">
        <v>167</v>
      </c>
      <c r="R209" s="542">
        <f>60*SUM(M209:M212)/F209</f>
        <v>0.3430588235294097</v>
      </c>
      <c r="S209" s="537">
        <f>100*SUM(M209:M212)/P212</f>
        <v>0.61505924467058093</v>
      </c>
      <c r="T209" s="538">
        <f>1000*SUM(M209:M212)/P212</f>
        <v>6.1505924467058097</v>
      </c>
      <c r="U209" s="533">
        <v>0.43</v>
      </c>
      <c r="V209" s="536">
        <v>0.67</v>
      </c>
      <c r="W209" s="543" t="s">
        <v>42</v>
      </c>
      <c r="X209" s="492"/>
      <c r="Y209" s="492"/>
      <c r="Z209" s="492"/>
    </row>
    <row r="210" spans="1:26" ht="15.6" x14ac:dyDescent="0.3">
      <c r="A210" s="532"/>
      <c r="B210" s="535" t="s">
        <v>123</v>
      </c>
      <c r="C210" s="564"/>
      <c r="D210" s="535"/>
      <c r="E210" s="535"/>
      <c r="F210" s="535"/>
      <c r="G210" s="536" t="s">
        <v>65</v>
      </c>
      <c r="H210" s="533" t="s">
        <v>62</v>
      </c>
      <c r="I210" s="535" t="s">
        <v>127</v>
      </c>
      <c r="J210" s="533" t="s">
        <v>23</v>
      </c>
      <c r="K210" s="537">
        <v>20.408999999999999</v>
      </c>
      <c r="L210" s="537">
        <v>20.489000000000001</v>
      </c>
      <c r="M210" s="538">
        <f>L210-K210</f>
        <v>8.0000000000001847E-2</v>
      </c>
      <c r="N210" s="533">
        <v>10.214566929133859</v>
      </c>
      <c r="O210" s="536">
        <v>12.2</v>
      </c>
      <c r="P210" s="537">
        <v>0.20183200000000001</v>
      </c>
      <c r="Q210" s="541">
        <f>N210*3.14159*O210</f>
        <v>391.49777209055122</v>
      </c>
      <c r="R210" s="542"/>
      <c r="S210" s="537"/>
      <c r="T210" s="538"/>
      <c r="U210" s="533"/>
      <c r="V210" s="536"/>
      <c r="W210" s="543"/>
      <c r="X210" s="492"/>
      <c r="Y210" s="492"/>
      <c r="Z210" s="492"/>
    </row>
    <row r="211" spans="1:26" ht="15.6" x14ac:dyDescent="0.3">
      <c r="A211" s="532"/>
      <c r="B211" s="535" t="s">
        <v>139</v>
      </c>
      <c r="C211" s="564"/>
      <c r="D211" s="535"/>
      <c r="E211" s="535"/>
      <c r="F211" s="535"/>
      <c r="G211" s="536"/>
      <c r="H211" s="533" t="s">
        <v>63</v>
      </c>
      <c r="I211" s="535"/>
      <c r="J211" s="533" t="s">
        <v>26</v>
      </c>
      <c r="K211" s="537">
        <v>18.606000000000002</v>
      </c>
      <c r="L211" s="537">
        <v>18.745000000000001</v>
      </c>
      <c r="M211" s="538">
        <f>L211-K211</f>
        <v>0.13899999999999935</v>
      </c>
      <c r="N211" s="610"/>
      <c r="O211" s="536"/>
      <c r="P211" s="547"/>
      <c r="Q211" s="541"/>
      <c r="R211" s="542"/>
      <c r="S211" s="537"/>
      <c r="T211" s="538"/>
      <c r="U211" s="549" t="s">
        <v>172</v>
      </c>
      <c r="V211" s="550"/>
      <c r="W211" s="551"/>
      <c r="X211" s="492"/>
      <c r="Y211" s="492"/>
      <c r="Z211" s="492"/>
    </row>
    <row r="212" spans="1:26" ht="15.6" x14ac:dyDescent="0.3">
      <c r="A212" s="532"/>
      <c r="B212" s="535" t="s">
        <v>140</v>
      </c>
      <c r="C212" s="564"/>
      <c r="D212" s="535"/>
      <c r="E212" s="535"/>
      <c r="F212" s="535"/>
      <c r="G212" s="536"/>
      <c r="H212" s="533"/>
      <c r="I212" s="535"/>
      <c r="J212" s="533" t="s">
        <v>25</v>
      </c>
      <c r="K212" s="537">
        <v>17.126000000000001</v>
      </c>
      <c r="L212" s="537">
        <v>17.271999999999998</v>
      </c>
      <c r="M212" s="538">
        <f>L212-K212</f>
        <v>0.14599999999999724</v>
      </c>
      <c r="N212" s="549" t="s">
        <v>18</v>
      </c>
      <c r="O212" s="550"/>
      <c r="P212" s="537">
        <f>Q210*P210</f>
        <v>79.016778336580145</v>
      </c>
      <c r="Q212" s="541" t="s">
        <v>163</v>
      </c>
      <c r="R212" s="542"/>
      <c r="S212" s="537"/>
      <c r="T212" s="538"/>
      <c r="U212" s="533"/>
      <c r="V212" s="536"/>
      <c r="W212" s="543"/>
      <c r="X212" s="492"/>
      <c r="Y212" s="492"/>
      <c r="Z212" s="492"/>
    </row>
    <row r="213" spans="1:26" ht="15.6" x14ac:dyDescent="0.3">
      <c r="A213" s="532"/>
      <c r="B213" s="535"/>
      <c r="C213" s="564"/>
      <c r="D213" s="535"/>
      <c r="E213" s="535"/>
      <c r="F213" s="535"/>
      <c r="G213" s="536"/>
      <c r="H213" s="533"/>
      <c r="I213" s="535"/>
      <c r="J213" s="533"/>
      <c r="K213" s="537"/>
      <c r="L213" s="537"/>
      <c r="M213" s="538"/>
      <c r="N213" s="610"/>
      <c r="O213" s="536"/>
      <c r="P213" s="537"/>
      <c r="Q213" s="541">
        <f>60*Q210/F209</f>
        <v>276.35136853450678</v>
      </c>
      <c r="R213" s="542"/>
      <c r="S213" s="537"/>
      <c r="T213" s="538"/>
      <c r="U213" s="533"/>
      <c r="V213" s="536"/>
      <c r="W213" s="543"/>
      <c r="X213" s="492"/>
      <c r="Y213" s="492"/>
      <c r="Z213" s="492"/>
    </row>
    <row r="214" spans="1:26" ht="15.6" x14ac:dyDescent="0.3">
      <c r="A214" s="570">
        <v>34</v>
      </c>
      <c r="B214" s="566" t="s">
        <v>104</v>
      </c>
      <c r="C214" s="571">
        <v>37596</v>
      </c>
      <c r="D214" s="566">
        <v>24</v>
      </c>
      <c r="E214" s="566">
        <v>225</v>
      </c>
      <c r="F214" s="566">
        <v>84</v>
      </c>
      <c r="G214" s="554" t="s">
        <v>64</v>
      </c>
      <c r="H214" s="514" t="s">
        <v>6</v>
      </c>
      <c r="I214" s="523" t="s">
        <v>5</v>
      </c>
      <c r="J214" s="553" t="s">
        <v>24</v>
      </c>
      <c r="K214" s="568">
        <v>19.213999999999999</v>
      </c>
      <c r="L214" s="568">
        <v>19.373999999999999</v>
      </c>
      <c r="M214" s="569">
        <f>L214-K214</f>
        <v>0.16000000000000014</v>
      </c>
      <c r="N214" s="553" t="s">
        <v>162</v>
      </c>
      <c r="O214" s="554" t="s">
        <v>169</v>
      </c>
      <c r="P214" s="496" t="s">
        <v>166</v>
      </c>
      <c r="Q214" s="556" t="s">
        <v>167</v>
      </c>
      <c r="R214" s="572">
        <f>60*SUM(M214:M217)/F214</f>
        <v>0.42857142857142705</v>
      </c>
      <c r="S214" s="568">
        <f>100*SUM(M214:M217)/P217</f>
        <v>0.73300426924261297</v>
      </c>
      <c r="T214" s="569">
        <f>1000*SUM(M214:M217)/P217</f>
        <v>7.3300426924261295</v>
      </c>
      <c r="U214" s="553">
        <v>0.43</v>
      </c>
      <c r="V214" s="554">
        <v>0.67</v>
      </c>
      <c r="W214" s="555" t="s">
        <v>42</v>
      </c>
      <c r="X214" s="492"/>
      <c r="Y214" s="492"/>
      <c r="Z214" s="492"/>
    </row>
    <row r="215" spans="1:26" ht="15.6" x14ac:dyDescent="0.3">
      <c r="A215" s="570"/>
      <c r="B215" s="566" t="s">
        <v>123</v>
      </c>
      <c r="C215" s="571"/>
      <c r="D215" s="566"/>
      <c r="E215" s="566"/>
      <c r="F215" s="566"/>
      <c r="G215" s="554" t="s">
        <v>65</v>
      </c>
      <c r="H215" s="514" t="s">
        <v>62</v>
      </c>
      <c r="I215" s="523" t="s">
        <v>127</v>
      </c>
      <c r="J215" s="553" t="s">
        <v>23</v>
      </c>
      <c r="K215" s="568">
        <v>18.997</v>
      </c>
      <c r="L215" s="568">
        <v>19.143999999999998</v>
      </c>
      <c r="M215" s="569">
        <f>L215-K215</f>
        <v>0.14699999999999847</v>
      </c>
      <c r="N215" s="553">
        <v>10.125</v>
      </c>
      <c r="O215" s="554">
        <f>12+3/4</f>
        <v>12.75</v>
      </c>
      <c r="P215" s="524">
        <v>0.20183200000000001</v>
      </c>
      <c r="Q215" s="556">
        <f>N215*3.14159*O215</f>
        <v>405.55963406249998</v>
      </c>
      <c r="R215" s="572"/>
      <c r="S215" s="568"/>
      <c r="T215" s="569"/>
      <c r="U215" s="553"/>
      <c r="V215" s="554"/>
      <c r="W215" s="555"/>
      <c r="X215" s="492"/>
      <c r="Y215" s="492"/>
      <c r="Z215" s="492"/>
    </row>
    <row r="216" spans="1:26" ht="15.6" x14ac:dyDescent="0.3">
      <c r="A216" s="570"/>
      <c r="B216" s="566" t="s">
        <v>139</v>
      </c>
      <c r="C216" s="571"/>
      <c r="D216" s="566"/>
      <c r="E216" s="566"/>
      <c r="F216" s="566"/>
      <c r="G216" s="554"/>
      <c r="H216" s="514" t="s">
        <v>63</v>
      </c>
      <c r="I216" s="523"/>
      <c r="J216" s="553" t="s">
        <v>26</v>
      </c>
      <c r="K216" s="568">
        <v>18.055</v>
      </c>
      <c r="L216" s="568">
        <v>18.204000000000001</v>
      </c>
      <c r="M216" s="569">
        <f>L216-K216</f>
        <v>0.14900000000000091</v>
      </c>
      <c r="N216" s="492"/>
      <c r="O216" s="492"/>
      <c r="P216" s="493"/>
      <c r="Q216" s="556"/>
      <c r="R216" s="572"/>
      <c r="S216" s="568"/>
      <c r="T216" s="569"/>
      <c r="U216" s="573" t="s">
        <v>172</v>
      </c>
      <c r="V216" s="574"/>
      <c r="W216" s="575"/>
      <c r="X216" s="492"/>
      <c r="Y216" s="492"/>
      <c r="Z216" s="492"/>
    </row>
    <row r="217" spans="1:26" ht="15.6" x14ac:dyDescent="0.3">
      <c r="A217" s="570"/>
      <c r="B217" s="566"/>
      <c r="C217" s="571"/>
      <c r="D217" s="566"/>
      <c r="E217" s="566"/>
      <c r="F217" s="566"/>
      <c r="G217" s="554"/>
      <c r="H217" s="514"/>
      <c r="I217" s="523"/>
      <c r="J217" s="553" t="s">
        <v>25</v>
      </c>
      <c r="K217" s="568">
        <v>19.591000000000001</v>
      </c>
      <c r="L217" s="568">
        <v>19.734999999999999</v>
      </c>
      <c r="M217" s="569">
        <f>L217-K217</f>
        <v>0.14399999999999835</v>
      </c>
      <c r="N217" s="573" t="s">
        <v>18</v>
      </c>
      <c r="O217" s="574"/>
      <c r="P217" s="568">
        <f>Q215*P215</f>
        <v>81.8549120621025</v>
      </c>
      <c r="Q217" s="556" t="s">
        <v>163</v>
      </c>
      <c r="R217" s="572"/>
      <c r="S217" s="568"/>
      <c r="T217" s="569"/>
      <c r="U217" s="553"/>
      <c r="V217" s="554"/>
      <c r="W217" s="555"/>
      <c r="X217" s="492"/>
      <c r="Y217" s="492"/>
      <c r="Z217" s="492"/>
    </row>
    <row r="218" spans="1:26" ht="15.6" x14ac:dyDescent="0.3">
      <c r="A218" s="570"/>
      <c r="B218" s="566"/>
      <c r="C218" s="571"/>
      <c r="D218" s="566"/>
      <c r="E218" s="566"/>
      <c r="F218" s="566"/>
      <c r="G218" s="554"/>
      <c r="H218" s="514"/>
      <c r="I218" s="523"/>
      <c r="J218" s="553"/>
      <c r="K218" s="568"/>
      <c r="L218" s="568"/>
      <c r="M218" s="569"/>
      <c r="N218" s="553"/>
      <c r="O218" s="554"/>
      <c r="P218" s="568"/>
      <c r="Q218" s="556">
        <f>60*Q215/F214</f>
        <v>289.68545290178571</v>
      </c>
      <c r="R218" s="572"/>
      <c r="S218" s="568"/>
      <c r="T218" s="569"/>
      <c r="U218" s="553"/>
      <c r="V218" s="554"/>
      <c r="W218" s="555"/>
      <c r="X218" s="492"/>
      <c r="Y218" s="492"/>
      <c r="Z218" s="492"/>
    </row>
    <row r="219" spans="1:26" ht="15.6" x14ac:dyDescent="0.3">
      <c r="A219" s="532">
        <v>35</v>
      </c>
      <c r="B219" s="535" t="s">
        <v>104</v>
      </c>
      <c r="C219" s="564">
        <v>37657</v>
      </c>
      <c r="D219" s="535">
        <v>21</v>
      </c>
      <c r="E219" s="539">
        <v>176</v>
      </c>
      <c r="F219" s="535">
        <v>71.03</v>
      </c>
      <c r="G219" s="535" t="s">
        <v>66</v>
      </c>
      <c r="H219" s="533" t="s">
        <v>61</v>
      </c>
      <c r="I219" s="535" t="s">
        <v>115</v>
      </c>
      <c r="J219" s="533" t="s">
        <v>24</v>
      </c>
      <c r="K219" s="537">
        <v>15.967000000000001</v>
      </c>
      <c r="L219" s="537">
        <v>16.068000000000001</v>
      </c>
      <c r="M219" s="552">
        <f>L219-K219</f>
        <v>0.10100000000000087</v>
      </c>
      <c r="N219" s="533" t="s">
        <v>162</v>
      </c>
      <c r="O219" s="536" t="s">
        <v>169</v>
      </c>
      <c r="P219" s="540" t="s">
        <v>166</v>
      </c>
      <c r="Q219" s="541" t="s">
        <v>167</v>
      </c>
      <c r="R219" s="542">
        <f>60*SUM(M219:M222)/F219</f>
        <v>0.31845699000422112</v>
      </c>
      <c r="S219" s="537">
        <f>100*SUM(M219:M222)/P222</f>
        <v>0.63010317275966909</v>
      </c>
      <c r="T219" s="538">
        <f>1000*SUM(M219:M222)/P222</f>
        <v>6.3010317275966905</v>
      </c>
      <c r="U219" s="533"/>
      <c r="V219" s="536"/>
      <c r="W219" s="543"/>
      <c r="X219" s="492"/>
      <c r="Y219" s="492"/>
      <c r="Z219" s="492"/>
    </row>
    <row r="220" spans="1:26" ht="15.6" x14ac:dyDescent="0.3">
      <c r="A220" s="532"/>
      <c r="B220" s="535" t="s">
        <v>123</v>
      </c>
      <c r="C220" s="564"/>
      <c r="D220" s="535"/>
      <c r="E220" s="539"/>
      <c r="F220" s="535"/>
      <c r="G220" s="535" t="s">
        <v>65</v>
      </c>
      <c r="H220" s="533">
        <v>304</v>
      </c>
      <c r="I220" s="535" t="s">
        <v>114</v>
      </c>
      <c r="J220" s="533" t="s">
        <v>23</v>
      </c>
      <c r="K220" s="537">
        <v>17.07</v>
      </c>
      <c r="L220" s="537">
        <v>17.164999999999999</v>
      </c>
      <c r="M220" s="538">
        <f>L220-K220</f>
        <v>9.4999999999998863E-2</v>
      </c>
      <c r="N220" s="533">
        <v>8.375</v>
      </c>
      <c r="O220" s="536">
        <f>10+1/3</f>
        <v>10.333333333333334</v>
      </c>
      <c r="P220" s="537">
        <v>0.22006700000000001</v>
      </c>
      <c r="Q220" s="541">
        <f>N220*3.14159*O220</f>
        <v>271.87843458333333</v>
      </c>
      <c r="R220" s="542"/>
      <c r="S220" s="537"/>
      <c r="T220" s="538"/>
      <c r="U220" s="533"/>
      <c r="V220" s="544"/>
      <c r="W220" s="543"/>
      <c r="X220" s="492"/>
      <c r="Y220" s="492"/>
      <c r="Z220" s="492"/>
    </row>
    <row r="221" spans="1:26" ht="15.6" x14ac:dyDescent="0.3">
      <c r="A221" s="532"/>
      <c r="B221" s="535" t="s">
        <v>185</v>
      </c>
      <c r="C221" s="564"/>
      <c r="D221" s="535"/>
      <c r="E221" s="539"/>
      <c r="F221" s="535"/>
      <c r="G221" s="535"/>
      <c r="H221" s="533"/>
      <c r="I221" s="535"/>
      <c r="J221" s="533" t="s">
        <v>26</v>
      </c>
      <c r="K221" s="537">
        <v>17.317</v>
      </c>
      <c r="L221" s="537">
        <v>17.408999999999999</v>
      </c>
      <c r="M221" s="538">
        <f>L221-K221</f>
        <v>9.1999999999998749E-2</v>
      </c>
      <c r="N221" s="610"/>
      <c r="O221" s="536"/>
      <c r="P221" s="547"/>
      <c r="Q221" s="541"/>
      <c r="R221" s="542"/>
      <c r="S221" s="537"/>
      <c r="T221" s="538"/>
      <c r="U221" s="533"/>
      <c r="V221" s="544"/>
      <c r="W221" s="543"/>
      <c r="X221" s="492"/>
      <c r="Y221" s="492"/>
      <c r="Z221" s="492"/>
    </row>
    <row r="222" spans="1:26" ht="15.6" x14ac:dyDescent="0.3">
      <c r="A222" s="532"/>
      <c r="B222" s="535"/>
      <c r="C222" s="564"/>
      <c r="D222" s="535"/>
      <c r="E222" s="539"/>
      <c r="F222" s="535"/>
      <c r="G222" s="535"/>
      <c r="H222" s="533"/>
      <c r="I222" s="535"/>
      <c r="J222" s="533" t="s">
        <v>25</v>
      </c>
      <c r="K222" s="537">
        <v>15.335000000000001</v>
      </c>
      <c r="L222" s="537">
        <v>15.423999999999999</v>
      </c>
      <c r="M222" s="538">
        <f>L222-K222</f>
        <v>8.8999999999998636E-2</v>
      </c>
      <c r="N222" s="549" t="s">
        <v>18</v>
      </c>
      <c r="O222" s="550"/>
      <c r="P222" s="537">
        <f>Q220*P220</f>
        <v>59.83147146345042</v>
      </c>
      <c r="Q222" s="541" t="s">
        <v>163</v>
      </c>
      <c r="R222" s="542"/>
      <c r="S222" s="537"/>
      <c r="T222" s="538"/>
      <c r="U222" s="562"/>
      <c r="V222" s="544"/>
      <c r="W222" s="543"/>
      <c r="X222" s="492"/>
      <c r="Y222" s="492"/>
      <c r="Z222" s="492"/>
    </row>
    <row r="223" spans="1:26" ht="15.6" x14ac:dyDescent="0.3">
      <c r="A223" s="532"/>
      <c r="B223" s="535"/>
      <c r="C223" s="564"/>
      <c r="D223" s="535"/>
      <c r="E223" s="539"/>
      <c r="F223" s="535"/>
      <c r="G223" s="535"/>
      <c r="H223" s="533"/>
      <c r="I223" s="535"/>
      <c r="J223" s="533"/>
      <c r="K223" s="537"/>
      <c r="L223" s="537"/>
      <c r="M223" s="538"/>
      <c r="N223" s="610"/>
      <c r="O223" s="536"/>
      <c r="P223" s="537"/>
      <c r="Q223" s="541">
        <f>60*Q220/F219</f>
        <v>229.6593844150359</v>
      </c>
      <c r="R223" s="542"/>
      <c r="S223" s="537"/>
      <c r="T223" s="538"/>
      <c r="U223" s="562"/>
      <c r="V223" s="544"/>
      <c r="W223" s="543"/>
      <c r="X223" s="492"/>
      <c r="Y223" s="492"/>
      <c r="Z223" s="492"/>
    </row>
    <row r="224" spans="1:26" ht="15.6" x14ac:dyDescent="0.3">
      <c r="A224" s="570">
        <v>36</v>
      </c>
      <c r="B224" s="566" t="s">
        <v>104</v>
      </c>
      <c r="C224" s="571">
        <v>37657</v>
      </c>
      <c r="D224" s="566">
        <v>21.2</v>
      </c>
      <c r="E224" s="490">
        <v>165</v>
      </c>
      <c r="F224" s="566">
        <v>70</v>
      </c>
      <c r="G224" s="513" t="s">
        <v>66</v>
      </c>
      <c r="H224" s="514" t="s">
        <v>61</v>
      </c>
      <c r="I224" s="523" t="s">
        <v>115</v>
      </c>
      <c r="J224" s="553" t="s">
        <v>24</v>
      </c>
      <c r="K224" s="568">
        <v>15.065</v>
      </c>
      <c r="L224" s="568">
        <v>15.19</v>
      </c>
      <c r="M224" s="569">
        <f>L224-K224</f>
        <v>0.125</v>
      </c>
      <c r="N224" s="553" t="s">
        <v>162</v>
      </c>
      <c r="O224" s="554" t="s">
        <v>169</v>
      </c>
      <c r="P224" s="496" t="s">
        <v>166</v>
      </c>
      <c r="Q224" s="556" t="s">
        <v>167</v>
      </c>
      <c r="R224" s="572">
        <f>60*SUM(M224:M227)/F224</f>
        <v>0.40714285714285531</v>
      </c>
      <c r="S224" s="568">
        <f>100*SUM(M224:M227)/P227</f>
        <v>0.8789569172874343</v>
      </c>
      <c r="T224" s="569">
        <f>1000*SUM(M224:M227)/P227</f>
        <v>8.7895691728743426</v>
      </c>
      <c r="U224" s="553"/>
      <c r="V224" s="554"/>
      <c r="W224" s="555"/>
      <c r="X224" s="492"/>
      <c r="Y224" s="492"/>
      <c r="Z224" s="492"/>
    </row>
    <row r="225" spans="1:26" ht="15.6" x14ac:dyDescent="0.3">
      <c r="A225" s="570"/>
      <c r="B225" s="566" t="s">
        <v>123</v>
      </c>
      <c r="C225" s="571"/>
      <c r="D225" s="566"/>
      <c r="E225" s="490"/>
      <c r="F225" s="566"/>
      <c r="G225" s="513" t="s">
        <v>65</v>
      </c>
      <c r="H225" s="514">
        <v>304</v>
      </c>
      <c r="I225" s="523" t="s">
        <v>127</v>
      </c>
      <c r="J225" s="553" t="s">
        <v>23</v>
      </c>
      <c r="K225" s="568">
        <v>16.038</v>
      </c>
      <c r="L225" s="568">
        <v>16.154</v>
      </c>
      <c r="M225" s="569">
        <f>L225-K225</f>
        <v>0.11599999999999966</v>
      </c>
      <c r="N225" s="553">
        <v>8.375</v>
      </c>
      <c r="O225" s="554">
        <f>9+1/3</f>
        <v>9.3333333333333339</v>
      </c>
      <c r="P225" s="568">
        <v>0.22006700000000001</v>
      </c>
      <c r="Q225" s="556">
        <f>N225*3.14159*O225</f>
        <v>245.56761833333334</v>
      </c>
      <c r="R225" s="572"/>
      <c r="S225" s="568"/>
      <c r="T225" s="569"/>
      <c r="U225" s="600"/>
      <c r="V225" s="557"/>
      <c r="W225" s="555"/>
      <c r="X225" s="492"/>
      <c r="Y225" s="492"/>
      <c r="Z225" s="492"/>
    </row>
    <row r="226" spans="1:26" ht="15.6" x14ac:dyDescent="0.3">
      <c r="A226" s="570"/>
      <c r="B226" s="566" t="s">
        <v>185</v>
      </c>
      <c r="C226" s="571"/>
      <c r="D226" s="566"/>
      <c r="E226" s="566"/>
      <c r="F226" s="566"/>
      <c r="G226" s="554"/>
      <c r="H226" s="514"/>
      <c r="I226" s="523"/>
      <c r="J226" s="553" t="s">
        <v>26</v>
      </c>
      <c r="K226" s="568">
        <v>16.872</v>
      </c>
      <c r="L226" s="568">
        <v>16.986999999999998</v>
      </c>
      <c r="M226" s="569">
        <f>L226-K226</f>
        <v>0.11499999999999844</v>
      </c>
      <c r="N226" s="492"/>
      <c r="O226" s="492"/>
      <c r="P226" s="493"/>
      <c r="Q226" s="556"/>
      <c r="R226" s="572"/>
      <c r="S226" s="568"/>
      <c r="T226" s="569"/>
      <c r="U226" s="600"/>
      <c r="V226" s="557"/>
      <c r="W226" s="555"/>
      <c r="X226" s="492"/>
      <c r="Y226" s="492"/>
      <c r="Z226" s="492"/>
    </row>
    <row r="227" spans="1:26" ht="15.6" x14ac:dyDescent="0.3">
      <c r="A227" s="570"/>
      <c r="B227" s="566"/>
      <c r="C227" s="571"/>
      <c r="D227" s="566"/>
      <c r="E227" s="566"/>
      <c r="F227" s="566"/>
      <c r="G227" s="554"/>
      <c r="H227" s="514"/>
      <c r="I227" s="523"/>
      <c r="J227" s="553" t="s">
        <v>25</v>
      </c>
      <c r="K227" s="568">
        <v>20.219000000000001</v>
      </c>
      <c r="L227" s="568">
        <v>20.338000000000001</v>
      </c>
      <c r="M227" s="569">
        <f>L227-K227</f>
        <v>0.11899999999999977</v>
      </c>
      <c r="N227" s="573" t="s">
        <v>18</v>
      </c>
      <c r="O227" s="574"/>
      <c r="P227" s="568">
        <f>Q225*P225</f>
        <v>54.041329063761673</v>
      </c>
      <c r="Q227" s="556" t="s">
        <v>163</v>
      </c>
      <c r="R227" s="572"/>
      <c r="S227" s="568"/>
      <c r="T227" s="569"/>
      <c r="U227" s="600"/>
      <c r="V227" s="557"/>
      <c r="W227" s="555"/>
      <c r="X227" s="492"/>
      <c r="Y227" s="492"/>
      <c r="Z227" s="492"/>
    </row>
    <row r="228" spans="1:26" ht="15.6" x14ac:dyDescent="0.3">
      <c r="A228" s="570"/>
      <c r="B228" s="566"/>
      <c r="C228" s="571"/>
      <c r="D228" s="566"/>
      <c r="E228" s="566"/>
      <c r="F228" s="566"/>
      <c r="G228" s="554"/>
      <c r="H228" s="514"/>
      <c r="I228" s="523"/>
      <c r="J228" s="553"/>
      <c r="K228" s="568"/>
      <c r="L228" s="568"/>
      <c r="M228" s="569"/>
      <c r="N228" s="553"/>
      <c r="O228" s="554"/>
      <c r="P228" s="568"/>
      <c r="Q228" s="556">
        <f>60*Q225/F224</f>
        <v>210.48652999999999</v>
      </c>
      <c r="R228" s="572"/>
      <c r="S228" s="568"/>
      <c r="T228" s="569"/>
      <c r="U228" s="600"/>
      <c r="V228" s="557"/>
      <c r="W228" s="555"/>
      <c r="X228" s="492"/>
      <c r="Y228" s="492"/>
      <c r="Z228" s="492"/>
    </row>
    <row r="229" spans="1:26" ht="15.6" x14ac:dyDescent="0.3">
      <c r="A229" s="532">
        <v>37</v>
      </c>
      <c r="B229" s="535" t="s">
        <v>104</v>
      </c>
      <c r="C229" s="564">
        <v>37659</v>
      </c>
      <c r="D229" s="535">
        <v>28</v>
      </c>
      <c r="E229" s="535">
        <v>207</v>
      </c>
      <c r="F229" s="535">
        <v>62.1</v>
      </c>
      <c r="G229" s="536" t="s">
        <v>64</v>
      </c>
      <c r="H229" s="533" t="s">
        <v>6</v>
      </c>
      <c r="I229" s="535" t="s">
        <v>5</v>
      </c>
      <c r="J229" s="533" t="s">
        <v>24</v>
      </c>
      <c r="K229" s="537">
        <v>18.224</v>
      </c>
      <c r="L229" s="537">
        <v>18.372</v>
      </c>
      <c r="M229" s="552">
        <f>L229-K229</f>
        <v>0.14799999999999969</v>
      </c>
      <c r="N229" s="533" t="s">
        <v>162</v>
      </c>
      <c r="O229" s="536" t="s">
        <v>169</v>
      </c>
      <c r="P229" s="540" t="s">
        <v>166</v>
      </c>
      <c r="Q229" s="541" t="s">
        <v>167</v>
      </c>
      <c r="R229" s="542">
        <f>60*SUM(M229:M232)/F229</f>
        <v>0.64347826086956561</v>
      </c>
      <c r="S229" s="537">
        <f>100*SUM(M229:M232)/P232</f>
        <v>1.0646033156764936</v>
      </c>
      <c r="T229" s="538">
        <f>1000*SUM(M229:M232)/P232</f>
        <v>10.646033156764936</v>
      </c>
      <c r="U229" s="533">
        <v>0.63</v>
      </c>
      <c r="V229" s="536">
        <v>0.99</v>
      </c>
      <c r="W229" s="543" t="s">
        <v>42</v>
      </c>
      <c r="X229" s="492"/>
      <c r="Y229" s="492"/>
      <c r="Z229" s="492"/>
    </row>
    <row r="230" spans="1:26" ht="15.6" x14ac:dyDescent="0.3">
      <c r="A230" s="532"/>
      <c r="B230" s="535" t="s">
        <v>123</v>
      </c>
      <c r="C230" s="564"/>
      <c r="D230" s="535"/>
      <c r="E230" s="535"/>
      <c r="F230" s="535"/>
      <c r="G230" s="536" t="s">
        <v>65</v>
      </c>
      <c r="H230" s="533" t="s">
        <v>62</v>
      </c>
      <c r="I230" s="535" t="s">
        <v>127</v>
      </c>
      <c r="J230" s="533" t="s">
        <v>23</v>
      </c>
      <c r="K230" s="537">
        <v>18.094000000000001</v>
      </c>
      <c r="L230" s="537">
        <v>18.244</v>
      </c>
      <c r="M230" s="538">
        <f>L230-K230</f>
        <v>0.14999999999999858</v>
      </c>
      <c r="N230" s="533">
        <f>(7+7/8)-2*(1+5/8)</f>
        <v>4.625</v>
      </c>
      <c r="O230" s="536">
        <f>21+8.5/12</f>
        <v>21.708333333333332</v>
      </c>
      <c r="P230" s="537">
        <v>0.19833469387755104</v>
      </c>
      <c r="Q230" s="541">
        <f>N230*3.14159*O230</f>
        <v>315.41890848958332</v>
      </c>
      <c r="R230" s="542"/>
      <c r="S230" s="537"/>
      <c r="T230" s="538"/>
      <c r="U230" s="562"/>
      <c r="V230" s="544"/>
      <c r="W230" s="543"/>
      <c r="X230" s="492"/>
      <c r="Y230" s="492"/>
      <c r="Z230" s="492"/>
    </row>
    <row r="231" spans="1:26" ht="15.6" x14ac:dyDescent="0.3">
      <c r="A231" s="532"/>
      <c r="B231" s="535" t="s">
        <v>186</v>
      </c>
      <c r="C231" s="564"/>
      <c r="D231" s="535"/>
      <c r="E231" s="535"/>
      <c r="F231" s="535"/>
      <c r="G231" s="536"/>
      <c r="H231" s="533" t="s">
        <v>63</v>
      </c>
      <c r="I231" s="535"/>
      <c r="J231" s="533" t="s">
        <v>26</v>
      </c>
      <c r="K231" s="537">
        <v>18.318999999999999</v>
      </c>
      <c r="L231" s="537">
        <v>18.506</v>
      </c>
      <c r="M231" s="538">
        <f>L231-K231</f>
        <v>0.18700000000000117</v>
      </c>
      <c r="N231" s="610"/>
      <c r="O231" s="536"/>
      <c r="P231" s="547"/>
      <c r="Q231" s="541"/>
      <c r="R231" s="542"/>
      <c r="S231" s="537"/>
      <c r="T231" s="538"/>
      <c r="U231" s="549" t="s">
        <v>172</v>
      </c>
      <c r="V231" s="550"/>
      <c r="W231" s="551"/>
      <c r="X231" s="492"/>
      <c r="Y231" s="492"/>
      <c r="Z231" s="492"/>
    </row>
    <row r="232" spans="1:26" ht="15.6" x14ac:dyDescent="0.3">
      <c r="A232" s="532"/>
      <c r="B232" s="535" t="s">
        <v>189</v>
      </c>
      <c r="C232" s="564"/>
      <c r="D232" s="535"/>
      <c r="E232" s="535"/>
      <c r="F232" s="535"/>
      <c r="G232" s="536"/>
      <c r="H232" s="533"/>
      <c r="I232" s="535"/>
      <c r="J232" s="533" t="s">
        <v>25</v>
      </c>
      <c r="K232" s="537">
        <v>18.558</v>
      </c>
      <c r="L232" s="537">
        <v>18.739000000000001</v>
      </c>
      <c r="M232" s="538">
        <f>L232-K232</f>
        <v>0.18100000000000094</v>
      </c>
      <c r="N232" s="549" t="s">
        <v>18</v>
      </c>
      <c r="O232" s="550"/>
      <c r="P232" s="537">
        <f>Q230*P230</f>
        <v>62.558512658472793</v>
      </c>
      <c r="Q232" s="541" t="s">
        <v>163</v>
      </c>
      <c r="R232" s="542"/>
      <c r="S232" s="537"/>
      <c r="T232" s="538"/>
      <c r="U232" s="562"/>
      <c r="V232" s="544"/>
      <c r="W232" s="543"/>
      <c r="X232" s="492"/>
      <c r="Y232" s="492"/>
      <c r="Z232" s="492"/>
    </row>
    <row r="233" spans="1:26" ht="15.6" x14ac:dyDescent="0.3">
      <c r="A233" s="532"/>
      <c r="B233" s="535" t="s">
        <v>188</v>
      </c>
      <c r="C233" s="564"/>
      <c r="D233" s="535"/>
      <c r="E233" s="535"/>
      <c r="F233" s="535"/>
      <c r="G233" s="536"/>
      <c r="H233" s="533"/>
      <c r="I233" s="535"/>
      <c r="J233" s="533"/>
      <c r="K233" s="537"/>
      <c r="L233" s="537"/>
      <c r="M233" s="538"/>
      <c r="N233" s="610"/>
      <c r="O233" s="536"/>
      <c r="P233" s="537"/>
      <c r="Q233" s="541">
        <f>60*Q230/F229</f>
        <v>304.75256858896938</v>
      </c>
      <c r="R233" s="542"/>
      <c r="S233" s="537"/>
      <c r="T233" s="538"/>
      <c r="U233" s="562"/>
      <c r="V233" s="544"/>
      <c r="W233" s="543"/>
      <c r="X233" s="492"/>
      <c r="Y233" s="492"/>
      <c r="Z233" s="492"/>
    </row>
    <row r="234" spans="1:26" ht="15.6" x14ac:dyDescent="0.3">
      <c r="A234" s="570">
        <v>38</v>
      </c>
      <c r="B234" s="566" t="s">
        <v>104</v>
      </c>
      <c r="C234" s="571">
        <v>37659</v>
      </c>
      <c r="D234" s="566">
        <v>26.1</v>
      </c>
      <c r="E234" s="566">
        <v>218</v>
      </c>
      <c r="F234" s="566">
        <v>76.28</v>
      </c>
      <c r="G234" s="513" t="s">
        <v>64</v>
      </c>
      <c r="H234" s="523" t="s">
        <v>6</v>
      </c>
      <c r="I234" s="523" t="s">
        <v>5</v>
      </c>
      <c r="J234" s="553" t="s">
        <v>24</v>
      </c>
      <c r="K234" s="568">
        <v>19.872</v>
      </c>
      <c r="L234" s="568">
        <v>20.032</v>
      </c>
      <c r="M234" s="569">
        <f>L234-K234</f>
        <v>0.16000000000000014</v>
      </c>
      <c r="N234" s="553" t="s">
        <v>162</v>
      </c>
      <c r="O234" s="554" t="s">
        <v>169</v>
      </c>
      <c r="P234" s="496" t="s">
        <v>166</v>
      </c>
      <c r="Q234" s="556" t="s">
        <v>167</v>
      </c>
      <c r="R234" s="572">
        <f>60*SUM(M234:M237)/F234</f>
        <v>0.49475616151022372</v>
      </c>
      <c r="S234" s="568">
        <f>100*SUM(M234:M237)/P237</f>
        <v>0.8262523279834092</v>
      </c>
      <c r="T234" s="554">
        <f>1000*SUM(M234:M237)/P237</f>
        <v>8.2625232798340917</v>
      </c>
      <c r="U234" s="553">
        <v>0.55000000000000004</v>
      </c>
      <c r="V234" s="554">
        <v>0.88</v>
      </c>
      <c r="W234" s="555" t="s">
        <v>42</v>
      </c>
      <c r="X234" s="492"/>
      <c r="Y234" s="492"/>
      <c r="Z234" s="492"/>
    </row>
    <row r="235" spans="1:26" ht="15.6" x14ac:dyDescent="0.3">
      <c r="A235" s="570"/>
      <c r="B235" s="566" t="s">
        <v>123</v>
      </c>
      <c r="C235" s="571"/>
      <c r="D235" s="566"/>
      <c r="E235" s="566"/>
      <c r="F235" s="566"/>
      <c r="G235" s="513" t="s">
        <v>65</v>
      </c>
      <c r="H235" s="523" t="s">
        <v>62</v>
      </c>
      <c r="I235" s="523" t="s">
        <v>127</v>
      </c>
      <c r="J235" s="553" t="s">
        <v>23</v>
      </c>
      <c r="K235" s="568">
        <v>21.094999999999999</v>
      </c>
      <c r="L235" s="568">
        <v>21.244</v>
      </c>
      <c r="M235" s="569">
        <f>L235-K235</f>
        <v>0.14900000000000091</v>
      </c>
      <c r="N235" s="553">
        <f>(7+7/8)-2*(1+5/8)</f>
        <v>4.625</v>
      </c>
      <c r="O235" s="554">
        <f>26+5/12</f>
        <v>26.416666666666668</v>
      </c>
      <c r="P235" s="568">
        <v>0.19833469387755104</v>
      </c>
      <c r="Q235" s="556">
        <f>N235*3.14159*O235</f>
        <v>383.83030322916665</v>
      </c>
      <c r="R235" s="572"/>
      <c r="S235" s="568"/>
      <c r="T235" s="554"/>
      <c r="U235" s="600"/>
      <c r="V235" s="557"/>
      <c r="W235" s="555"/>
      <c r="X235" s="492"/>
      <c r="Y235" s="492"/>
      <c r="Z235" s="492"/>
    </row>
    <row r="236" spans="1:26" ht="15.6" x14ac:dyDescent="0.3">
      <c r="A236" s="570"/>
      <c r="B236" s="566" t="s">
        <v>186</v>
      </c>
      <c r="C236" s="571"/>
      <c r="D236" s="566"/>
      <c r="E236" s="566"/>
      <c r="F236" s="566"/>
      <c r="G236" s="554"/>
      <c r="H236" s="523" t="s">
        <v>63</v>
      </c>
      <c r="I236" s="523"/>
      <c r="J236" s="553" t="s">
        <v>26</v>
      </c>
      <c r="K236" s="568">
        <v>21.411000000000001</v>
      </c>
      <c r="L236" s="568">
        <v>21.568999999999999</v>
      </c>
      <c r="M236" s="569">
        <f>L236-K236</f>
        <v>0.1579999999999977</v>
      </c>
      <c r="N236" s="492"/>
      <c r="O236" s="492"/>
      <c r="P236" s="493"/>
      <c r="Q236" s="556"/>
      <c r="R236" s="572"/>
      <c r="S236" s="568"/>
      <c r="T236" s="554"/>
      <c r="U236" s="573" t="s">
        <v>172</v>
      </c>
      <c r="V236" s="574"/>
      <c r="W236" s="575"/>
      <c r="X236" s="492"/>
      <c r="Y236" s="492"/>
      <c r="Z236" s="492"/>
    </row>
    <row r="237" spans="1:26" ht="15.6" x14ac:dyDescent="0.3">
      <c r="A237" s="565"/>
      <c r="B237" s="554"/>
      <c r="C237" s="601"/>
      <c r="D237" s="566"/>
      <c r="E237" s="554"/>
      <c r="F237" s="566"/>
      <c r="G237" s="554"/>
      <c r="H237" s="514"/>
      <c r="I237" s="523"/>
      <c r="J237" s="553" t="s">
        <v>25</v>
      </c>
      <c r="K237" s="568">
        <v>19.738</v>
      </c>
      <c r="L237" s="568">
        <v>19.899999999999999</v>
      </c>
      <c r="M237" s="554">
        <f>L237-K237</f>
        <v>0.16199999999999903</v>
      </c>
      <c r="N237" s="573" t="s">
        <v>18</v>
      </c>
      <c r="O237" s="574"/>
      <c r="P237" s="568">
        <f>Q235*P235</f>
        <v>76.126865691884362</v>
      </c>
      <c r="Q237" s="556" t="s">
        <v>163</v>
      </c>
      <c r="R237" s="572"/>
      <c r="S237" s="568"/>
      <c r="T237" s="554"/>
      <c r="U237" s="600"/>
      <c r="V237" s="557"/>
      <c r="W237" s="555"/>
      <c r="X237" s="492"/>
      <c r="Y237" s="492"/>
      <c r="Z237" s="492"/>
    </row>
    <row r="238" spans="1:26" ht="15.6" x14ac:dyDescent="0.3">
      <c r="A238" s="565"/>
      <c r="B238" s="554"/>
      <c r="C238" s="601"/>
      <c r="D238" s="566"/>
      <c r="E238" s="554"/>
      <c r="F238" s="566"/>
      <c r="G238" s="554"/>
      <c r="H238" s="514"/>
      <c r="I238" s="523"/>
      <c r="J238" s="553"/>
      <c r="K238" s="568"/>
      <c r="L238" s="568"/>
      <c r="M238" s="554"/>
      <c r="N238" s="553"/>
      <c r="O238" s="554"/>
      <c r="P238" s="568"/>
      <c r="Q238" s="556">
        <f>60*Q235/F234</f>
        <v>301.91161764223909</v>
      </c>
      <c r="R238" s="572"/>
      <c r="S238" s="568"/>
      <c r="T238" s="554"/>
      <c r="U238" s="600"/>
      <c r="V238" s="557"/>
      <c r="W238" s="555"/>
      <c r="X238" s="492"/>
      <c r="Y238" s="492"/>
      <c r="Z238" s="492"/>
    </row>
    <row r="239" spans="1:26" ht="15.6" x14ac:dyDescent="0.3">
      <c r="A239" s="602">
        <v>39</v>
      </c>
      <c r="B239" s="536" t="s">
        <v>104</v>
      </c>
      <c r="C239" s="534">
        <v>37659</v>
      </c>
      <c r="D239" s="535">
        <v>23.7</v>
      </c>
      <c r="E239" s="536">
        <v>228</v>
      </c>
      <c r="F239" s="535">
        <v>81.19</v>
      </c>
      <c r="G239" s="536" t="s">
        <v>64</v>
      </c>
      <c r="H239" s="533" t="s">
        <v>6</v>
      </c>
      <c r="I239" s="535" t="s">
        <v>5</v>
      </c>
      <c r="J239" s="533" t="s">
        <v>24</v>
      </c>
      <c r="K239" s="537">
        <v>19.63</v>
      </c>
      <c r="L239" s="537">
        <v>19.754000000000001</v>
      </c>
      <c r="M239" s="536">
        <f>L239-K239</f>
        <v>0.12400000000000233</v>
      </c>
      <c r="N239" s="533" t="s">
        <v>162</v>
      </c>
      <c r="O239" s="536" t="s">
        <v>169</v>
      </c>
      <c r="P239" s="540" t="s">
        <v>166</v>
      </c>
      <c r="Q239" s="541" t="s">
        <v>167</v>
      </c>
      <c r="R239" s="542">
        <f>60*SUM(M239:M242)/F239</f>
        <v>0.36211356078335183</v>
      </c>
      <c r="S239" s="537">
        <f>100*SUM(M239:M242)/P242</f>
        <v>0.60675235072233391</v>
      </c>
      <c r="T239" s="538">
        <f>1000*SUM(M239:M242)/P242</f>
        <v>6.0675235072233393</v>
      </c>
      <c r="U239" s="533">
        <v>0.43</v>
      </c>
      <c r="V239" s="536">
        <v>0.67</v>
      </c>
      <c r="W239" s="543" t="s">
        <v>42</v>
      </c>
      <c r="X239" s="492"/>
      <c r="Y239" s="492"/>
      <c r="Z239" s="492"/>
    </row>
    <row r="240" spans="1:26" ht="15.6" x14ac:dyDescent="0.3">
      <c r="A240" s="602"/>
      <c r="B240" s="536" t="s">
        <v>123</v>
      </c>
      <c r="C240" s="534"/>
      <c r="D240" s="535"/>
      <c r="E240" s="536"/>
      <c r="F240" s="535"/>
      <c r="G240" s="536" t="s">
        <v>187</v>
      </c>
      <c r="H240" s="533" t="s">
        <v>62</v>
      </c>
      <c r="I240" s="535" t="s">
        <v>127</v>
      </c>
      <c r="J240" s="533" t="s">
        <v>23</v>
      </c>
      <c r="K240" s="537">
        <v>20.956</v>
      </c>
      <c r="L240" s="537">
        <v>21.074000000000002</v>
      </c>
      <c r="M240" s="536">
        <f>L240-K240</f>
        <v>0.1180000000000021</v>
      </c>
      <c r="N240" s="533">
        <f>(7+7/8)-2*(1+6/8)</f>
        <v>4.375</v>
      </c>
      <c r="O240" s="536">
        <f>29+7.5/12</f>
        <v>29.625</v>
      </c>
      <c r="P240" s="537">
        <v>0.19833469387755104</v>
      </c>
      <c r="Q240" s="541">
        <f>N240*3.14159*O240</f>
        <v>407.17951640624995</v>
      </c>
      <c r="R240" s="542"/>
      <c r="S240" s="537"/>
      <c r="T240" s="538"/>
      <c r="U240" s="562"/>
      <c r="V240" s="544"/>
      <c r="W240" s="543"/>
      <c r="X240" s="492"/>
      <c r="Y240" s="492"/>
      <c r="Z240" s="492"/>
    </row>
    <row r="241" spans="1:26" ht="15.6" x14ac:dyDescent="0.3">
      <c r="A241" s="602"/>
      <c r="B241" s="536" t="s">
        <v>186</v>
      </c>
      <c r="C241" s="534"/>
      <c r="D241" s="535"/>
      <c r="E241" s="536"/>
      <c r="F241" s="535"/>
      <c r="G241" s="536"/>
      <c r="H241" s="533" t="s">
        <v>63</v>
      </c>
      <c r="I241" s="535"/>
      <c r="J241" s="533" t="s">
        <v>26</v>
      </c>
      <c r="K241" s="537">
        <v>20.457000000000001</v>
      </c>
      <c r="L241" s="537">
        <v>20.585000000000001</v>
      </c>
      <c r="M241" s="536">
        <f>L241-K241</f>
        <v>0.12800000000000011</v>
      </c>
      <c r="N241" s="610"/>
      <c r="O241" s="536"/>
      <c r="P241" s="547"/>
      <c r="Q241" s="541"/>
      <c r="R241" s="542"/>
      <c r="S241" s="537"/>
      <c r="T241" s="538"/>
      <c r="U241" s="549" t="s">
        <v>172</v>
      </c>
      <c r="V241" s="550"/>
      <c r="W241" s="551"/>
      <c r="X241" s="492"/>
      <c r="Y241" s="492"/>
      <c r="Z241" s="492"/>
    </row>
    <row r="242" spans="1:26" ht="15.6" x14ac:dyDescent="0.3">
      <c r="A242" s="602"/>
      <c r="B242" s="536"/>
      <c r="C242" s="534"/>
      <c r="D242" s="535"/>
      <c r="E242" s="536"/>
      <c r="F242" s="535"/>
      <c r="G242" s="536"/>
      <c r="H242" s="533"/>
      <c r="I242" s="535"/>
      <c r="J242" s="533" t="s">
        <v>25</v>
      </c>
      <c r="K242" s="537">
        <v>20.198</v>
      </c>
      <c r="L242" s="537">
        <v>20.318000000000001</v>
      </c>
      <c r="M242" s="536">
        <f>L242-K242</f>
        <v>0.12000000000000099</v>
      </c>
      <c r="N242" s="549" t="s">
        <v>18</v>
      </c>
      <c r="O242" s="550"/>
      <c r="P242" s="537">
        <f>Q240*P240</f>
        <v>80.757824739642857</v>
      </c>
      <c r="Q242" s="541" t="s">
        <v>163</v>
      </c>
      <c r="R242" s="542"/>
      <c r="S242" s="537"/>
      <c r="T242" s="538"/>
      <c r="U242" s="562"/>
      <c r="V242" s="544"/>
      <c r="W242" s="543"/>
      <c r="X242" s="492"/>
      <c r="Y242" s="492"/>
      <c r="Z242" s="492"/>
    </row>
    <row r="243" spans="1:26" ht="15.6" x14ac:dyDescent="0.3">
      <c r="A243" s="602"/>
      <c r="B243" s="536"/>
      <c r="C243" s="534"/>
      <c r="D243" s="535"/>
      <c r="E243" s="536"/>
      <c r="F243" s="535"/>
      <c r="G243" s="536"/>
      <c r="H243" s="533"/>
      <c r="I243" s="535"/>
      <c r="J243" s="533"/>
      <c r="K243" s="537"/>
      <c r="L243" s="537"/>
      <c r="M243" s="536"/>
      <c r="N243" s="610"/>
      <c r="O243" s="536"/>
      <c r="P243" s="537"/>
      <c r="Q243" s="541">
        <f>60*Q240/F239</f>
        <v>300.90862155899742</v>
      </c>
      <c r="R243" s="542"/>
      <c r="S243" s="537"/>
      <c r="T243" s="538"/>
      <c r="U243" s="562"/>
      <c r="V243" s="544"/>
      <c r="W243" s="543"/>
      <c r="X243" s="492"/>
      <c r="Y243" s="492"/>
      <c r="Z243" s="492"/>
    </row>
    <row r="244" spans="1:26" ht="15.6" x14ac:dyDescent="0.3">
      <c r="A244" s="565">
        <v>40</v>
      </c>
      <c r="B244" s="554" t="s">
        <v>104</v>
      </c>
      <c r="C244" s="601">
        <v>37665</v>
      </c>
      <c r="D244" s="566">
        <v>24.4</v>
      </c>
      <c r="E244" s="554">
        <v>134</v>
      </c>
      <c r="F244" s="566">
        <v>91.03</v>
      </c>
      <c r="G244" s="513" t="s">
        <v>66</v>
      </c>
      <c r="H244" s="514" t="s">
        <v>61</v>
      </c>
      <c r="I244" s="523" t="s">
        <v>115</v>
      </c>
      <c r="J244" s="553" t="s">
        <v>24</v>
      </c>
      <c r="K244" s="568">
        <v>20.167000000000002</v>
      </c>
      <c r="L244" s="568">
        <v>20.234999999999999</v>
      </c>
      <c r="M244" s="554">
        <f>L244-K244</f>
        <v>6.799999999999784E-2</v>
      </c>
      <c r="N244" s="553" t="s">
        <v>162</v>
      </c>
      <c r="O244" s="554" t="s">
        <v>169</v>
      </c>
      <c r="P244" s="496" t="s">
        <v>166</v>
      </c>
      <c r="Q244" s="556" t="s">
        <v>167</v>
      </c>
      <c r="R244" s="572">
        <f>60*SUM(M244:M247)/F244</f>
        <v>0.17400856860375188</v>
      </c>
      <c r="S244" s="568">
        <f>100*SUM(M244:M247)/P247</f>
        <v>0.44954634981524372</v>
      </c>
      <c r="T244" s="569">
        <f>1000*SUM(M244:M247)/P247</f>
        <v>4.4954634981524375</v>
      </c>
      <c r="U244" s="553"/>
      <c r="V244" s="554"/>
      <c r="W244" s="555"/>
      <c r="X244" s="492"/>
      <c r="Y244" s="492"/>
      <c r="Z244" s="492"/>
    </row>
    <row r="245" spans="1:26" ht="15.6" x14ac:dyDescent="0.3">
      <c r="A245" s="565"/>
      <c r="B245" s="554" t="s">
        <v>123</v>
      </c>
      <c r="C245" s="601"/>
      <c r="D245" s="566"/>
      <c r="E245" s="554"/>
      <c r="F245" s="566"/>
      <c r="G245" s="513" t="s">
        <v>67</v>
      </c>
      <c r="H245" s="514">
        <v>304</v>
      </c>
      <c r="I245" s="523" t="s">
        <v>127</v>
      </c>
      <c r="J245" s="553" t="s">
        <v>193</v>
      </c>
      <c r="K245" s="568">
        <v>20.707000000000001</v>
      </c>
      <c r="L245" s="568">
        <v>20.774999999999999</v>
      </c>
      <c r="M245" s="554">
        <f>L245-K245</f>
        <v>6.799999999999784E-2</v>
      </c>
      <c r="N245" s="553">
        <v>6.2920767716535435</v>
      </c>
      <c r="O245" s="554">
        <f>23+10.5/12</f>
        <v>23.875</v>
      </c>
      <c r="P245" s="568">
        <v>0.124435</v>
      </c>
      <c r="Q245" s="556">
        <f>N245*3.14159*O245</f>
        <v>471.94012047828494</v>
      </c>
      <c r="R245" s="572"/>
      <c r="S245" s="568"/>
      <c r="T245" s="554"/>
      <c r="U245" s="600"/>
      <c r="V245" s="557"/>
      <c r="W245" s="555"/>
      <c r="X245" s="492"/>
      <c r="Y245" s="492"/>
      <c r="Z245" s="492"/>
    </row>
    <row r="246" spans="1:26" ht="15.6" x14ac:dyDescent="0.3">
      <c r="A246" s="565"/>
      <c r="B246" s="554" t="s">
        <v>185</v>
      </c>
      <c r="C246" s="601"/>
      <c r="D246" s="566"/>
      <c r="E246" s="554"/>
      <c r="F246" s="566"/>
      <c r="G246" s="554"/>
      <c r="H246" s="514"/>
      <c r="I246" s="523"/>
      <c r="J246" s="553" t="s">
        <v>26</v>
      </c>
      <c r="K246" s="568">
        <v>19.358000000000001</v>
      </c>
      <c r="L246" s="568">
        <v>19.423999999999999</v>
      </c>
      <c r="M246" s="554">
        <f>L246-K246</f>
        <v>6.5999999999998948E-2</v>
      </c>
      <c r="N246" s="611"/>
      <c r="O246" s="554"/>
      <c r="P246" s="568"/>
      <c r="Q246" s="556"/>
      <c r="R246" s="572"/>
      <c r="S246" s="568"/>
      <c r="T246" s="569"/>
      <c r="U246" s="600"/>
      <c r="V246" s="557"/>
      <c r="W246" s="555"/>
      <c r="X246" s="492"/>
      <c r="Y246" s="492"/>
      <c r="Z246" s="492"/>
    </row>
    <row r="247" spans="1:26" ht="15.6" x14ac:dyDescent="0.3">
      <c r="A247" s="565"/>
      <c r="B247" s="566"/>
      <c r="C247" s="567"/>
      <c r="D247" s="566"/>
      <c r="E247" s="554"/>
      <c r="F247" s="566"/>
      <c r="G247" s="554"/>
      <c r="H247" s="523"/>
      <c r="I247" s="513"/>
      <c r="J247" s="553" t="s">
        <v>25</v>
      </c>
      <c r="K247" s="568">
        <v>22.283000000000001</v>
      </c>
      <c r="L247" s="568">
        <v>22.344999999999999</v>
      </c>
      <c r="M247" s="554">
        <f>L247-K247</f>
        <v>6.1999999999997613E-2</v>
      </c>
      <c r="N247" s="573" t="s">
        <v>18</v>
      </c>
      <c r="O247" s="574"/>
      <c r="P247" s="568">
        <f>Q245*P245</f>
        <v>58.725868891715386</v>
      </c>
      <c r="Q247" s="556" t="s">
        <v>163</v>
      </c>
      <c r="R247" s="572"/>
      <c r="S247" s="568"/>
      <c r="T247" s="554"/>
      <c r="U247" s="600"/>
      <c r="V247" s="557"/>
      <c r="W247" s="555"/>
      <c r="X247" s="492"/>
      <c r="Y247" s="492"/>
      <c r="Z247" s="492"/>
    </row>
    <row r="248" spans="1:26" ht="16.2" thickBot="1" x14ac:dyDescent="0.35">
      <c r="A248" s="603"/>
      <c r="B248" s="578"/>
      <c r="C248" s="612"/>
      <c r="D248" s="578"/>
      <c r="E248" s="589"/>
      <c r="F248" s="578"/>
      <c r="G248" s="589"/>
      <c r="H248" s="605"/>
      <c r="I248" s="580"/>
      <c r="J248" s="582"/>
      <c r="K248" s="583"/>
      <c r="L248" s="583"/>
      <c r="M248" s="589"/>
      <c r="N248" s="582"/>
      <c r="O248" s="589"/>
      <c r="P248" s="583"/>
      <c r="Q248" s="586">
        <f>60*Q245/F244</f>
        <v>311.06676072390525</v>
      </c>
      <c r="R248" s="587"/>
      <c r="S248" s="583"/>
      <c r="T248" s="589"/>
      <c r="U248" s="608"/>
      <c r="V248" s="609"/>
      <c r="W248" s="590"/>
      <c r="X248" s="492"/>
      <c r="Y248" s="492"/>
      <c r="Z248" s="492"/>
    </row>
    <row r="249" spans="1:26" ht="15.6" x14ac:dyDescent="0.3">
      <c r="A249" s="490"/>
      <c r="B249" s="490"/>
      <c r="C249" s="495"/>
      <c r="D249" s="490"/>
      <c r="E249" s="490"/>
      <c r="F249" s="490"/>
      <c r="G249" s="490"/>
      <c r="H249" s="490"/>
      <c r="I249" s="490"/>
      <c r="J249" s="490"/>
      <c r="K249" s="496"/>
      <c r="L249" s="496"/>
      <c r="M249" s="591"/>
      <c r="N249" s="490"/>
      <c r="O249" s="490"/>
      <c r="P249" s="496"/>
      <c r="Q249" s="497"/>
      <c r="R249" s="496"/>
      <c r="S249" s="496"/>
      <c r="T249" s="490"/>
      <c r="U249" s="492"/>
      <c r="V249" s="492"/>
      <c r="W249" s="492"/>
      <c r="X249" s="492"/>
      <c r="Y249" s="492"/>
      <c r="Z249" s="492"/>
    </row>
    <row r="250" spans="1:26" ht="15.6" x14ac:dyDescent="0.3">
      <c r="A250" s="596"/>
      <c r="B250" s="490"/>
      <c r="C250" s="495"/>
      <c r="D250" s="490"/>
      <c r="E250" s="490"/>
      <c r="F250" s="490"/>
      <c r="G250" s="490"/>
      <c r="H250" s="490"/>
      <c r="I250" s="490"/>
      <c r="J250" s="490"/>
      <c r="K250" s="496"/>
      <c r="L250" s="496"/>
      <c r="M250" s="591"/>
      <c r="N250" s="490"/>
      <c r="O250" s="490"/>
      <c r="P250" s="496"/>
      <c r="Q250" s="497"/>
      <c r="R250" s="496"/>
      <c r="S250" s="496"/>
      <c r="T250" s="490"/>
      <c r="U250" s="492"/>
      <c r="V250" s="492"/>
      <c r="W250" s="492"/>
      <c r="X250" s="492"/>
      <c r="Y250" s="492"/>
      <c r="Z250" s="492"/>
    </row>
    <row r="251" spans="1:26" ht="15.6" x14ac:dyDescent="0.3">
      <c r="A251" s="596"/>
      <c r="B251" s="490"/>
      <c r="C251" s="495"/>
      <c r="D251" s="490"/>
      <c r="E251" s="490"/>
      <c r="F251" s="490"/>
      <c r="G251" s="490"/>
      <c r="H251" s="490"/>
      <c r="I251" s="490"/>
      <c r="J251" s="490"/>
      <c r="K251" s="496"/>
      <c r="L251" s="496"/>
      <c r="M251" s="591"/>
      <c r="N251" s="490"/>
      <c r="O251" s="490"/>
      <c r="P251" s="496"/>
      <c r="Q251" s="497"/>
      <c r="R251" s="496"/>
      <c r="S251" s="496"/>
      <c r="T251" s="490"/>
      <c r="U251" s="492"/>
      <c r="V251" s="492"/>
      <c r="W251" s="492"/>
      <c r="X251" s="492"/>
      <c r="Y251" s="492"/>
      <c r="Z251" s="492"/>
    </row>
    <row r="252" spans="1:26" ht="15.6" x14ac:dyDescent="0.3">
      <c r="A252" s="596"/>
      <c r="B252" s="490"/>
      <c r="C252" s="495"/>
      <c r="D252" s="490"/>
      <c r="E252" s="490"/>
      <c r="F252" s="490"/>
      <c r="G252" s="490"/>
      <c r="H252" s="490"/>
      <c r="I252" s="490"/>
      <c r="J252" s="490"/>
      <c r="K252" s="496"/>
      <c r="L252" s="496"/>
      <c r="M252" s="591"/>
      <c r="N252" s="490"/>
      <c r="O252" s="490"/>
      <c r="P252" s="496"/>
      <c r="Q252" s="497"/>
      <c r="R252" s="496"/>
      <c r="S252" s="496"/>
      <c r="T252" s="490"/>
      <c r="U252" s="492"/>
      <c r="V252" s="492"/>
      <c r="W252" s="492"/>
      <c r="X252" s="492"/>
      <c r="Y252" s="492"/>
      <c r="Z252" s="492"/>
    </row>
    <row r="253" spans="1:26" ht="15.6" x14ac:dyDescent="0.3">
      <c r="A253" s="596"/>
      <c r="B253" s="490"/>
      <c r="C253" s="495"/>
      <c r="D253" s="490"/>
      <c r="E253" s="490"/>
      <c r="F253" s="490"/>
      <c r="G253" s="490"/>
      <c r="H253" s="490"/>
      <c r="I253" s="490"/>
      <c r="J253" s="490"/>
      <c r="K253" s="496"/>
      <c r="L253" s="496"/>
      <c r="M253" s="490"/>
      <c r="N253" s="490"/>
      <c r="O253" s="490"/>
      <c r="P253" s="496"/>
      <c r="Q253" s="497"/>
      <c r="R253" s="496"/>
      <c r="S253" s="496"/>
      <c r="T253" s="490"/>
      <c r="U253" s="492"/>
      <c r="V253" s="492"/>
      <c r="W253" s="492"/>
      <c r="X253" s="492"/>
      <c r="Y253" s="492"/>
      <c r="Z253" s="492"/>
    </row>
    <row r="254" spans="1:26" ht="15.6" x14ac:dyDescent="0.3">
      <c r="A254" s="490"/>
      <c r="B254" s="490"/>
      <c r="C254" s="495"/>
      <c r="D254" s="490"/>
      <c r="E254" s="490"/>
      <c r="F254" s="490"/>
      <c r="G254" s="490"/>
      <c r="H254" s="490"/>
      <c r="I254" s="490"/>
      <c r="J254" s="490"/>
      <c r="K254" s="496"/>
      <c r="L254" s="496"/>
      <c r="M254" s="490"/>
      <c r="N254" s="490"/>
      <c r="O254" s="490"/>
      <c r="P254" s="496"/>
      <c r="Q254" s="497"/>
      <c r="R254" s="496"/>
      <c r="S254" s="496"/>
      <c r="T254" s="490"/>
      <c r="U254" s="492"/>
      <c r="V254" s="492"/>
      <c r="W254" s="492"/>
      <c r="X254" s="492"/>
      <c r="Y254" s="492"/>
      <c r="Z254" s="492"/>
    </row>
    <row r="255" spans="1:26" ht="15.6" x14ac:dyDescent="0.3">
      <c r="A255" s="492"/>
      <c r="B255" s="490"/>
      <c r="C255" s="491"/>
      <c r="D255" s="492"/>
      <c r="E255" s="490"/>
      <c r="F255" s="492"/>
      <c r="G255" s="490"/>
      <c r="H255" s="490"/>
      <c r="I255" s="490"/>
      <c r="J255" s="492"/>
      <c r="K255" s="493"/>
      <c r="L255" s="493"/>
      <c r="M255" s="492"/>
      <c r="N255" s="492"/>
      <c r="O255" s="492"/>
      <c r="P255" s="493"/>
      <c r="Q255" s="494"/>
      <c r="R255" s="493"/>
      <c r="S255" s="493"/>
      <c r="T255" s="492"/>
      <c r="U255" s="492"/>
      <c r="V255" s="492"/>
      <c r="W255" s="492"/>
      <c r="X255" s="492"/>
      <c r="Y255" s="492"/>
      <c r="Z255" s="492"/>
    </row>
    <row r="256" spans="1:26" ht="15.6" x14ac:dyDescent="0.3">
      <c r="A256" s="489" t="s">
        <v>194</v>
      </c>
      <c r="B256" s="591"/>
      <c r="C256" s="592"/>
      <c r="D256" s="591"/>
      <c r="E256" s="591"/>
      <c r="F256" s="591"/>
      <c r="G256" s="591"/>
      <c r="H256" s="490"/>
      <c r="I256" s="490"/>
      <c r="J256" s="591"/>
      <c r="K256" s="593"/>
      <c r="L256" s="593"/>
      <c r="M256" s="591"/>
      <c r="N256" s="591"/>
      <c r="O256" s="591"/>
      <c r="P256" s="593"/>
      <c r="Q256" s="594"/>
      <c r="R256" s="593"/>
      <c r="S256" s="593"/>
      <c r="T256" s="591"/>
      <c r="U256" s="492"/>
      <c r="V256" s="492"/>
      <c r="W256" s="492"/>
      <c r="X256" s="492"/>
      <c r="Y256" s="492"/>
      <c r="Z256" s="492"/>
    </row>
    <row r="257" spans="1:26" ht="15.6" x14ac:dyDescent="0.3">
      <c r="A257" s="490"/>
      <c r="B257" s="591"/>
      <c r="C257" s="592"/>
      <c r="D257" s="591"/>
      <c r="E257" s="591"/>
      <c r="F257" s="591"/>
      <c r="G257" s="591"/>
      <c r="H257" s="490"/>
      <c r="I257" s="490"/>
      <c r="J257" s="591"/>
      <c r="K257" s="593"/>
      <c r="L257" s="593"/>
      <c r="M257" s="591"/>
      <c r="N257" s="591"/>
      <c r="O257" s="591"/>
      <c r="P257" s="593"/>
      <c r="Q257" s="594"/>
      <c r="R257" s="593"/>
      <c r="S257" s="593"/>
      <c r="T257" s="591"/>
      <c r="U257" s="492"/>
      <c r="V257" s="492"/>
      <c r="W257" s="492"/>
      <c r="X257" s="492"/>
      <c r="Y257" s="492"/>
      <c r="Z257" s="492"/>
    </row>
    <row r="258" spans="1:26" ht="16.2" thickBot="1" x14ac:dyDescent="0.35">
      <c r="A258" s="490"/>
      <c r="B258" s="591"/>
      <c r="C258" s="592"/>
      <c r="D258" s="591"/>
      <c r="E258" s="591"/>
      <c r="F258" s="591"/>
      <c r="G258" s="591"/>
      <c r="H258" s="490"/>
      <c r="I258" s="490"/>
      <c r="J258" s="591"/>
      <c r="K258" s="593"/>
      <c r="L258" s="593"/>
      <c r="M258" s="591"/>
      <c r="N258" s="591"/>
      <c r="O258" s="591"/>
      <c r="P258" s="593"/>
      <c r="Q258" s="594"/>
      <c r="R258" s="593"/>
      <c r="S258" s="593"/>
      <c r="T258" s="591"/>
      <c r="U258" s="492"/>
      <c r="V258" s="492"/>
      <c r="W258" s="492"/>
      <c r="X258" s="492"/>
      <c r="Y258" s="492"/>
      <c r="Z258" s="492"/>
    </row>
    <row r="259" spans="1:26" ht="15.6" x14ac:dyDescent="0.3">
      <c r="A259" s="498" t="s">
        <v>21</v>
      </c>
      <c r="B259" s="501" t="s">
        <v>16</v>
      </c>
      <c r="C259" s="597" t="s">
        <v>7</v>
      </c>
      <c r="D259" s="501" t="s">
        <v>58</v>
      </c>
      <c r="E259" s="501" t="s">
        <v>59</v>
      </c>
      <c r="F259" s="501" t="s">
        <v>60</v>
      </c>
      <c r="G259" s="502" t="s">
        <v>14</v>
      </c>
      <c r="H259" s="499" t="s">
        <v>3</v>
      </c>
      <c r="I259" s="501" t="s">
        <v>82</v>
      </c>
      <c r="J259" s="503" t="s">
        <v>13</v>
      </c>
      <c r="K259" s="504"/>
      <c r="L259" s="504"/>
      <c r="M259" s="505"/>
      <c r="N259" s="503" t="s">
        <v>168</v>
      </c>
      <c r="O259" s="504"/>
      <c r="P259" s="504"/>
      <c r="Q259" s="505"/>
      <c r="R259" s="503" t="s">
        <v>30</v>
      </c>
      <c r="S259" s="504"/>
      <c r="T259" s="505"/>
      <c r="U259" s="506" t="s">
        <v>31</v>
      </c>
      <c r="V259" s="507"/>
      <c r="W259" s="508"/>
      <c r="X259" s="492"/>
      <c r="Y259" s="492"/>
      <c r="Z259" s="492"/>
    </row>
    <row r="260" spans="1:26" ht="15.6" x14ac:dyDescent="0.3">
      <c r="A260" s="509"/>
      <c r="B260" s="512"/>
      <c r="C260" s="598"/>
      <c r="D260" s="512"/>
      <c r="E260" s="512"/>
      <c r="F260" s="512"/>
      <c r="G260" s="517"/>
      <c r="H260" s="514"/>
      <c r="I260" s="523"/>
      <c r="J260" s="510"/>
      <c r="K260" s="515" t="s">
        <v>10</v>
      </c>
      <c r="L260" s="515" t="s">
        <v>11</v>
      </c>
      <c r="M260" s="516" t="s">
        <v>12</v>
      </c>
      <c r="N260" s="510"/>
      <c r="O260" s="517"/>
      <c r="P260" s="515"/>
      <c r="Q260" s="518"/>
      <c r="R260" s="519" t="s">
        <v>9</v>
      </c>
      <c r="S260" s="515" t="s">
        <v>15</v>
      </c>
      <c r="T260" s="516" t="s">
        <v>20</v>
      </c>
      <c r="U260" s="519" t="s">
        <v>9</v>
      </c>
      <c r="V260" s="515" t="s">
        <v>15</v>
      </c>
      <c r="W260" s="520" t="s">
        <v>20</v>
      </c>
      <c r="X260" s="492"/>
      <c r="Y260" s="492"/>
      <c r="Z260" s="492"/>
    </row>
    <row r="261" spans="1:26" ht="15.6" x14ac:dyDescent="0.3">
      <c r="A261" s="521"/>
      <c r="B261" s="514"/>
      <c r="C261" s="522"/>
      <c r="D261" s="514" t="s">
        <v>74</v>
      </c>
      <c r="E261" s="514" t="s">
        <v>75</v>
      </c>
      <c r="F261" s="523" t="s">
        <v>76</v>
      </c>
      <c r="G261" s="523"/>
      <c r="H261" s="513"/>
      <c r="I261" s="523"/>
      <c r="J261" s="514"/>
      <c r="K261" s="524" t="s">
        <v>4</v>
      </c>
      <c r="L261" s="524" t="s">
        <v>4</v>
      </c>
      <c r="M261" s="513" t="s">
        <v>4</v>
      </c>
      <c r="N261" s="514"/>
      <c r="O261" s="513"/>
      <c r="P261" s="513"/>
      <c r="Q261" s="525"/>
      <c r="R261" s="526"/>
      <c r="S261" s="524"/>
      <c r="T261" s="527"/>
      <c r="U261" s="526"/>
      <c r="V261" s="524"/>
      <c r="W261" s="528"/>
      <c r="X261" s="492"/>
      <c r="Y261" s="492"/>
      <c r="Z261" s="492"/>
    </row>
    <row r="262" spans="1:26" ht="15.6" x14ac:dyDescent="0.3">
      <c r="A262" s="521"/>
      <c r="B262" s="566"/>
      <c r="C262" s="571"/>
      <c r="D262" s="566"/>
      <c r="E262" s="566"/>
      <c r="F262" s="566"/>
      <c r="G262" s="554"/>
      <c r="H262" s="514"/>
      <c r="I262" s="523"/>
      <c r="J262" s="553"/>
      <c r="K262" s="568"/>
      <c r="L262" s="568"/>
      <c r="M262" s="569"/>
      <c r="N262" s="553"/>
      <c r="O262" s="554"/>
      <c r="P262" s="568"/>
      <c r="Q262" s="556"/>
      <c r="R262" s="572" t="s">
        <v>1</v>
      </c>
      <c r="S262" s="568"/>
      <c r="T262" s="569"/>
      <c r="U262" s="563"/>
      <c r="V262" s="530"/>
      <c r="W262" s="531"/>
      <c r="X262" s="492"/>
      <c r="Y262" s="492"/>
      <c r="Z262" s="492"/>
    </row>
    <row r="263" spans="1:26" ht="15.6" x14ac:dyDescent="0.3">
      <c r="A263" s="532">
        <v>41</v>
      </c>
      <c r="B263" s="535" t="s">
        <v>104</v>
      </c>
      <c r="C263" s="564">
        <v>37665</v>
      </c>
      <c r="D263" s="535">
        <v>23.4</v>
      </c>
      <c r="E263" s="535">
        <v>168</v>
      </c>
      <c r="F263" s="535">
        <v>93.85</v>
      </c>
      <c r="G263" s="536" t="s">
        <v>66</v>
      </c>
      <c r="H263" s="533" t="s">
        <v>61</v>
      </c>
      <c r="I263" s="535" t="s">
        <v>115</v>
      </c>
      <c r="J263" s="533" t="s">
        <v>24</v>
      </c>
      <c r="K263" s="537">
        <v>20.498999999999999</v>
      </c>
      <c r="L263" s="537">
        <v>20.591000000000001</v>
      </c>
      <c r="M263" s="538">
        <f>L263-K263</f>
        <v>9.2000000000002302E-2</v>
      </c>
      <c r="N263" s="533" t="s">
        <v>162</v>
      </c>
      <c r="O263" s="536" t="s">
        <v>169</v>
      </c>
      <c r="P263" s="540" t="s">
        <v>166</v>
      </c>
      <c r="Q263" s="541" t="s">
        <v>167</v>
      </c>
      <c r="R263" s="542">
        <f>60*SUM(M263:M266)/F263</f>
        <v>0.7518380394246128</v>
      </c>
      <c r="S263" s="537">
        <f>100*SUM(M263:M266)/P266</f>
        <v>1.2792047090060765</v>
      </c>
      <c r="T263" s="538">
        <f>1000*SUM(M263:M266)/P266</f>
        <v>12.792047090060766</v>
      </c>
      <c r="U263" s="533"/>
      <c r="V263" s="536"/>
      <c r="W263" s="543"/>
      <c r="X263" s="492"/>
      <c r="Y263" s="492"/>
      <c r="Z263" s="492"/>
    </row>
    <row r="264" spans="1:26" ht="15.6" x14ac:dyDescent="0.3">
      <c r="A264" s="532"/>
      <c r="B264" s="535" t="s">
        <v>123</v>
      </c>
      <c r="C264" s="564"/>
      <c r="D264" s="535"/>
      <c r="E264" s="535"/>
      <c r="F264" s="535"/>
      <c r="G264" s="536" t="s">
        <v>67</v>
      </c>
      <c r="H264" s="533">
        <v>304</v>
      </c>
      <c r="I264" s="535" t="s">
        <v>127</v>
      </c>
      <c r="J264" s="533" t="s">
        <v>23</v>
      </c>
      <c r="K264" s="537">
        <v>21.131</v>
      </c>
      <c r="L264" s="537">
        <v>21.204000000000001</v>
      </c>
      <c r="M264" s="538">
        <f>L264-K264</f>
        <v>7.3000000000000398E-2</v>
      </c>
      <c r="N264" s="533">
        <v>6.29207677165354</v>
      </c>
      <c r="O264" s="536">
        <f>37+4.5/12</f>
        <v>37.375</v>
      </c>
      <c r="P264" s="537">
        <v>0.124435</v>
      </c>
      <c r="Q264" s="541">
        <f>N264*3.14159*O264</f>
        <v>738.79631425658181</v>
      </c>
      <c r="R264" s="542"/>
      <c r="S264" s="537"/>
      <c r="T264" s="538"/>
      <c r="U264" s="533"/>
      <c r="V264" s="536"/>
      <c r="W264" s="543"/>
      <c r="X264" s="492"/>
      <c r="Y264" s="492"/>
      <c r="Z264" s="492"/>
    </row>
    <row r="265" spans="1:26" ht="15.6" x14ac:dyDescent="0.3">
      <c r="A265" s="532"/>
      <c r="B265" s="535" t="s">
        <v>185</v>
      </c>
      <c r="C265" s="564"/>
      <c r="D265" s="535"/>
      <c r="E265" s="535"/>
      <c r="F265" s="535"/>
      <c r="G265" s="536"/>
      <c r="H265" s="533"/>
      <c r="I265" s="535"/>
      <c r="J265" s="533" t="s">
        <v>26</v>
      </c>
      <c r="K265" s="537">
        <v>20.286000000000001</v>
      </c>
      <c r="L265" s="537">
        <v>20.375</v>
      </c>
      <c r="M265" s="538">
        <f>L265-K265</f>
        <v>8.8999999999998636E-2</v>
      </c>
      <c r="N265" s="610"/>
      <c r="O265" s="536"/>
      <c r="P265" s="547"/>
      <c r="Q265" s="541"/>
      <c r="R265" s="542"/>
      <c r="S265" s="537"/>
      <c r="T265" s="538"/>
      <c r="U265" s="549"/>
      <c r="V265" s="550"/>
      <c r="W265" s="551"/>
      <c r="X265" s="492"/>
      <c r="Y265" s="492"/>
      <c r="Z265" s="492"/>
    </row>
    <row r="266" spans="1:26" ht="15.6" x14ac:dyDescent="0.3">
      <c r="A266" s="532"/>
      <c r="B266" s="535"/>
      <c r="C266" s="564"/>
      <c r="D266" s="535"/>
      <c r="E266" s="535"/>
      <c r="F266" s="535"/>
      <c r="G266" s="536"/>
      <c r="H266" s="533"/>
      <c r="I266" s="535"/>
      <c r="J266" s="533" t="s">
        <v>25</v>
      </c>
      <c r="K266" s="537">
        <v>20.702000000000002</v>
      </c>
      <c r="L266" s="537">
        <v>21.623999999999999</v>
      </c>
      <c r="M266" s="538">
        <f>L266-K266</f>
        <v>0.92199999999999704</v>
      </c>
      <c r="N266" s="549" t="s">
        <v>18</v>
      </c>
      <c r="O266" s="550"/>
      <c r="P266" s="537">
        <f>Q264*P264</f>
        <v>91.93211936451776</v>
      </c>
      <c r="Q266" s="541" t="s">
        <v>163</v>
      </c>
      <c r="R266" s="542"/>
      <c r="S266" s="537"/>
      <c r="T266" s="538"/>
      <c r="U266" s="533"/>
      <c r="V266" s="536"/>
      <c r="W266" s="543"/>
      <c r="X266" s="492"/>
      <c r="Y266" s="492"/>
      <c r="Z266" s="492"/>
    </row>
    <row r="267" spans="1:26" ht="15.6" x14ac:dyDescent="0.3">
      <c r="A267" s="532"/>
      <c r="B267" s="535"/>
      <c r="C267" s="564"/>
      <c r="D267" s="535"/>
      <c r="E267" s="535"/>
      <c r="F267" s="535"/>
      <c r="G267" s="536"/>
      <c r="H267" s="533"/>
      <c r="I267" s="535"/>
      <c r="J267" s="533"/>
      <c r="K267" s="537"/>
      <c r="L267" s="537"/>
      <c r="M267" s="538"/>
      <c r="N267" s="610"/>
      <c r="O267" s="536"/>
      <c r="P267" s="537"/>
      <c r="Q267" s="541">
        <f>60*Q264/F263</f>
        <v>472.32582690884294</v>
      </c>
      <c r="R267" s="542"/>
      <c r="S267" s="537"/>
      <c r="T267" s="538"/>
      <c r="U267" s="533"/>
      <c r="V267" s="536"/>
      <c r="W267" s="543"/>
      <c r="X267" s="492"/>
      <c r="Y267" s="492"/>
      <c r="Z267" s="492"/>
    </row>
    <row r="268" spans="1:26" ht="15.6" x14ac:dyDescent="0.3">
      <c r="A268" s="570">
        <v>42</v>
      </c>
      <c r="B268" s="566" t="s">
        <v>104</v>
      </c>
      <c r="C268" s="571">
        <v>37666</v>
      </c>
      <c r="D268" s="566">
        <v>24.3</v>
      </c>
      <c r="E268" s="566">
        <v>214</v>
      </c>
      <c r="F268" s="566">
        <v>51.13</v>
      </c>
      <c r="G268" s="513" t="s">
        <v>66</v>
      </c>
      <c r="H268" s="514" t="s">
        <v>61</v>
      </c>
      <c r="I268" s="523" t="s">
        <v>115</v>
      </c>
      <c r="J268" s="553" t="s">
        <v>24</v>
      </c>
      <c r="K268" s="568">
        <v>20.823</v>
      </c>
      <c r="L268" s="568">
        <v>20.914000000000001</v>
      </c>
      <c r="M268" s="569">
        <f>L268-K268</f>
        <v>9.100000000000108E-2</v>
      </c>
      <c r="N268" s="553" t="s">
        <v>162</v>
      </c>
      <c r="O268" s="554" t="s">
        <v>169</v>
      </c>
      <c r="P268" s="496" t="s">
        <v>166</v>
      </c>
      <c r="Q268" s="556" t="s">
        <v>167</v>
      </c>
      <c r="R268" s="572">
        <f>60*SUM(M268:M271)/F268</f>
        <v>0.39311558771758359</v>
      </c>
      <c r="S268" s="568">
        <f>100*SUM(M268:M271)/P271</f>
        <v>0.40835213841869755</v>
      </c>
      <c r="T268" s="569">
        <f>1000*SUM(M268:M271)/P271</f>
        <v>4.0835213841869757</v>
      </c>
      <c r="U268" s="553"/>
      <c r="V268" s="554"/>
      <c r="W268" s="555"/>
      <c r="X268" s="492"/>
      <c r="Y268" s="492"/>
      <c r="Z268" s="492"/>
    </row>
    <row r="269" spans="1:26" ht="15.6" x14ac:dyDescent="0.3">
      <c r="A269" s="570"/>
      <c r="B269" s="566" t="s">
        <v>123</v>
      </c>
      <c r="C269" s="571"/>
      <c r="D269" s="566"/>
      <c r="E269" s="566"/>
      <c r="F269" s="566"/>
      <c r="G269" s="513" t="s">
        <v>67</v>
      </c>
      <c r="H269" s="514">
        <v>304</v>
      </c>
      <c r="I269" s="523" t="s">
        <v>127</v>
      </c>
      <c r="J269" s="553" t="s">
        <v>23</v>
      </c>
      <c r="K269" s="568">
        <v>20.341999999999999</v>
      </c>
      <c r="L269" s="568">
        <v>20.423999999999999</v>
      </c>
      <c r="M269" s="569">
        <f>L269-K269</f>
        <v>8.2000000000000739E-2</v>
      </c>
      <c r="N269" s="553">
        <v>6.134596456692913</v>
      </c>
      <c r="O269" s="554">
        <f>35+5.5/12-5/4</f>
        <v>34.208333333333336</v>
      </c>
      <c r="P269" s="568">
        <v>0.124435</v>
      </c>
      <c r="Q269" s="556">
        <f>N269*3.14159*O269</f>
        <v>659.2762346014805</v>
      </c>
      <c r="R269" s="572"/>
      <c r="S269" s="568"/>
      <c r="T269" s="569"/>
      <c r="U269" s="553"/>
      <c r="V269" s="554"/>
      <c r="W269" s="555"/>
      <c r="X269" s="492"/>
      <c r="Y269" s="492"/>
      <c r="Z269" s="492"/>
    </row>
    <row r="270" spans="1:26" ht="15.6" x14ac:dyDescent="0.3">
      <c r="A270" s="570"/>
      <c r="B270" s="566" t="s">
        <v>185</v>
      </c>
      <c r="C270" s="571"/>
      <c r="D270" s="566"/>
      <c r="E270" s="566"/>
      <c r="F270" s="566"/>
      <c r="G270" s="554"/>
      <c r="H270" s="514"/>
      <c r="I270" s="523"/>
      <c r="J270" s="553" t="s">
        <v>26</v>
      </c>
      <c r="K270" s="568">
        <v>20.545000000000002</v>
      </c>
      <c r="L270" s="568">
        <v>20.626000000000001</v>
      </c>
      <c r="M270" s="569">
        <f>L270-K270</f>
        <v>8.0999999999999517E-2</v>
      </c>
      <c r="N270" s="492"/>
      <c r="O270" s="492"/>
      <c r="P270" s="493"/>
      <c r="Q270" s="556"/>
      <c r="R270" s="572"/>
      <c r="S270" s="568"/>
      <c r="T270" s="569"/>
      <c r="U270" s="573"/>
      <c r="V270" s="574"/>
      <c r="W270" s="575"/>
      <c r="X270" s="492"/>
      <c r="Y270" s="492"/>
      <c r="Z270" s="492"/>
    </row>
    <row r="271" spans="1:26" ht="15.6" x14ac:dyDescent="0.3">
      <c r="A271" s="570"/>
      <c r="B271" s="566"/>
      <c r="C271" s="571"/>
      <c r="D271" s="566"/>
      <c r="E271" s="566"/>
      <c r="F271" s="566"/>
      <c r="G271" s="554"/>
      <c r="H271" s="514"/>
      <c r="I271" s="523"/>
      <c r="J271" s="553" t="s">
        <v>25</v>
      </c>
      <c r="K271" s="568">
        <v>19.114000000000001</v>
      </c>
      <c r="L271" s="568">
        <v>19.195</v>
      </c>
      <c r="M271" s="569">
        <f>L271-K271</f>
        <v>8.0999999999999517E-2</v>
      </c>
      <c r="N271" s="573" t="s">
        <v>18</v>
      </c>
      <c r="O271" s="574"/>
      <c r="P271" s="568">
        <f>Q269*P269</f>
        <v>82.037038252635227</v>
      </c>
      <c r="Q271" s="556" t="s">
        <v>163</v>
      </c>
      <c r="R271" s="572"/>
      <c r="S271" s="568"/>
      <c r="T271" s="569"/>
      <c r="U271" s="553"/>
      <c r="V271" s="554"/>
      <c r="W271" s="555"/>
      <c r="X271" s="492"/>
      <c r="Y271" s="492"/>
      <c r="Z271" s="492"/>
    </row>
    <row r="272" spans="1:26" ht="15.6" x14ac:dyDescent="0.3">
      <c r="A272" s="570"/>
      <c r="B272" s="566"/>
      <c r="C272" s="571"/>
      <c r="D272" s="566"/>
      <c r="E272" s="566"/>
      <c r="F272" s="566"/>
      <c r="G272" s="554"/>
      <c r="H272" s="514"/>
      <c r="I272" s="523"/>
      <c r="J272" s="553"/>
      <c r="K272" s="568"/>
      <c r="L272" s="568"/>
      <c r="M272" s="569"/>
      <c r="N272" s="553"/>
      <c r="O272" s="554"/>
      <c r="P272" s="568"/>
      <c r="Q272" s="556">
        <f>60*Q269/F268</f>
        <v>773.64705801073399</v>
      </c>
      <c r="R272" s="572"/>
      <c r="S272" s="568"/>
      <c r="T272" s="569"/>
      <c r="U272" s="553"/>
      <c r="V272" s="554"/>
      <c r="W272" s="555"/>
      <c r="X272" s="492"/>
      <c r="Y272" s="492"/>
      <c r="Z272" s="492"/>
    </row>
    <row r="273" spans="1:26" ht="15.6" x14ac:dyDescent="0.3">
      <c r="A273" s="532">
        <v>43</v>
      </c>
      <c r="B273" s="535" t="s">
        <v>104</v>
      </c>
      <c r="C273" s="564">
        <v>37672</v>
      </c>
      <c r="D273" s="535">
        <v>25.9</v>
      </c>
      <c r="E273" s="535">
        <v>153</v>
      </c>
      <c r="F273" s="535">
        <v>106.5</v>
      </c>
      <c r="G273" s="536" t="s">
        <v>196</v>
      </c>
      <c r="H273" s="533" t="s">
        <v>61</v>
      </c>
      <c r="I273" s="535" t="s">
        <v>5</v>
      </c>
      <c r="J273" s="533" t="s">
        <v>24</v>
      </c>
      <c r="K273" s="537">
        <v>21.655000000000001</v>
      </c>
      <c r="L273" s="537">
        <v>21.809000000000001</v>
      </c>
      <c r="M273" s="538">
        <f>L273-K273</f>
        <v>0.15399999999999991</v>
      </c>
      <c r="N273" s="533" t="s">
        <v>162</v>
      </c>
      <c r="O273" s="536" t="s">
        <v>169</v>
      </c>
      <c r="P273" s="540" t="s">
        <v>166</v>
      </c>
      <c r="Q273" s="541" t="s">
        <v>167</v>
      </c>
      <c r="R273" s="542">
        <f>60*SUM(M273:M276)/F273</f>
        <v>0.34422535211267641</v>
      </c>
      <c r="S273" s="537">
        <f>100*SUM(M273:M276)/P276</f>
        <v>0.75422446880577054</v>
      </c>
      <c r="T273" s="538">
        <f>1000*SUM(M273:M276)/P276</f>
        <v>7.5422446880577061</v>
      </c>
      <c r="U273" s="533"/>
      <c r="V273" s="536"/>
      <c r="W273" s="543"/>
      <c r="X273" s="492"/>
      <c r="Y273" s="492"/>
      <c r="Z273" s="492"/>
    </row>
    <row r="274" spans="1:26" ht="15.6" x14ac:dyDescent="0.3">
      <c r="A274" s="532"/>
      <c r="B274" s="535" t="s">
        <v>198</v>
      </c>
      <c r="C274" s="564"/>
      <c r="D274" s="535"/>
      <c r="E274" s="535"/>
      <c r="F274" s="535"/>
      <c r="G274" s="536" t="s">
        <v>65</v>
      </c>
      <c r="H274" s="533">
        <v>304</v>
      </c>
      <c r="I274" s="535" t="s">
        <v>127</v>
      </c>
      <c r="J274" s="533" t="s">
        <v>23</v>
      </c>
      <c r="K274" s="537">
        <v>22.303999999999998</v>
      </c>
      <c r="L274" s="537">
        <v>22.454999999999998</v>
      </c>
      <c r="M274" s="538">
        <f>L274-K274</f>
        <v>0.1509999999999998</v>
      </c>
      <c r="N274" s="533">
        <v>7.875</v>
      </c>
      <c r="O274" s="536">
        <f>18+11.5/12</f>
        <v>18.958333333333332</v>
      </c>
      <c r="P274" s="537">
        <v>0.17271910112359551</v>
      </c>
      <c r="Q274" s="541">
        <f>N274*3.14159*O274</f>
        <v>469.02956953124993</v>
      </c>
      <c r="R274" s="542"/>
      <c r="S274" s="537"/>
      <c r="T274" s="538"/>
      <c r="U274" s="533"/>
      <c r="V274" s="536"/>
      <c r="W274" s="543"/>
      <c r="X274" s="492"/>
      <c r="Y274" s="492"/>
      <c r="Z274" s="492"/>
    </row>
    <row r="275" spans="1:26" ht="15.6" x14ac:dyDescent="0.3">
      <c r="A275" s="532"/>
      <c r="B275" s="535" t="s">
        <v>185</v>
      </c>
      <c r="C275" s="564"/>
      <c r="D275" s="535"/>
      <c r="E275" s="535"/>
      <c r="F275" s="535"/>
      <c r="G275" s="536"/>
      <c r="H275" s="533"/>
      <c r="I275" s="535"/>
      <c r="J275" s="533" t="s">
        <v>26</v>
      </c>
      <c r="K275" s="537">
        <v>19.056999999999999</v>
      </c>
      <c r="L275" s="537">
        <v>19.210999999999999</v>
      </c>
      <c r="M275" s="538">
        <f>L275-K275</f>
        <v>0.15399999999999991</v>
      </c>
      <c r="N275" s="610"/>
      <c r="O275" s="536"/>
      <c r="P275" s="547"/>
      <c r="Q275" s="541"/>
      <c r="R275" s="542"/>
      <c r="S275" s="537"/>
      <c r="T275" s="538"/>
      <c r="U275" s="549"/>
      <c r="V275" s="550"/>
      <c r="W275" s="551"/>
      <c r="X275" s="492"/>
      <c r="Y275" s="492"/>
      <c r="Z275" s="492"/>
    </row>
    <row r="276" spans="1:26" ht="15.6" x14ac:dyDescent="0.3">
      <c r="A276" s="532"/>
      <c r="B276" s="535"/>
      <c r="C276" s="564"/>
      <c r="D276" s="535"/>
      <c r="E276" s="535"/>
      <c r="F276" s="535"/>
      <c r="G276" s="536"/>
      <c r="H276" s="533"/>
      <c r="I276" s="535"/>
      <c r="J276" s="533" t="s">
        <v>25</v>
      </c>
      <c r="K276" s="537">
        <v>19.811</v>
      </c>
      <c r="L276" s="537">
        <v>19.963000000000001</v>
      </c>
      <c r="M276" s="538">
        <f>L276-K276</f>
        <v>0.15200000000000102</v>
      </c>
      <c r="N276" s="549" t="s">
        <v>18</v>
      </c>
      <c r="O276" s="550"/>
      <c r="P276" s="537">
        <f>Q274*P274</f>
        <v>81.010365649824422</v>
      </c>
      <c r="Q276" s="541" t="s">
        <v>163</v>
      </c>
      <c r="R276" s="542"/>
      <c r="S276" s="537"/>
      <c r="T276" s="538"/>
      <c r="U276" s="533"/>
      <c r="V276" s="536"/>
      <c r="W276" s="543"/>
      <c r="X276" s="492"/>
      <c r="Y276" s="492"/>
      <c r="Z276" s="492"/>
    </row>
    <row r="277" spans="1:26" ht="15.6" x14ac:dyDescent="0.3">
      <c r="A277" s="532"/>
      <c r="B277" s="535"/>
      <c r="C277" s="564"/>
      <c r="D277" s="535"/>
      <c r="E277" s="535"/>
      <c r="F277" s="535"/>
      <c r="G277" s="536"/>
      <c r="H277" s="533"/>
      <c r="I277" s="535"/>
      <c r="J277" s="533"/>
      <c r="K277" s="537"/>
      <c r="L277" s="537"/>
      <c r="M277" s="538"/>
      <c r="N277" s="610"/>
      <c r="O277" s="536"/>
      <c r="P277" s="537"/>
      <c r="Q277" s="541">
        <f>60*Q274/F273</f>
        <v>264.2420110035211</v>
      </c>
      <c r="R277" s="542"/>
      <c r="S277" s="537"/>
      <c r="T277" s="538"/>
      <c r="U277" s="533"/>
      <c r="V277" s="536"/>
      <c r="W277" s="543"/>
      <c r="X277" s="492"/>
      <c r="Y277" s="492"/>
      <c r="Z277" s="492"/>
    </row>
    <row r="278" spans="1:26" ht="15.6" x14ac:dyDescent="0.3">
      <c r="A278" s="570">
        <v>44</v>
      </c>
      <c r="B278" s="566" t="s">
        <v>104</v>
      </c>
      <c r="C278" s="571">
        <v>37673</v>
      </c>
      <c r="D278" s="566">
        <v>29.3</v>
      </c>
      <c r="E278" s="566">
        <v>235</v>
      </c>
      <c r="F278" s="566">
        <v>79.83</v>
      </c>
      <c r="G278" s="554" t="s">
        <v>199</v>
      </c>
      <c r="H278" s="514" t="s">
        <v>6</v>
      </c>
      <c r="I278" s="523" t="s">
        <v>5</v>
      </c>
      <c r="J278" s="553" t="s">
        <v>24</v>
      </c>
      <c r="K278" s="568">
        <v>20.164999999999999</v>
      </c>
      <c r="L278" s="568">
        <v>20.321000000000002</v>
      </c>
      <c r="M278" s="569">
        <f>L278-K278</f>
        <v>0.15600000000000236</v>
      </c>
      <c r="N278" s="553" t="s">
        <v>162</v>
      </c>
      <c r="O278" s="554" t="s">
        <v>169</v>
      </c>
      <c r="P278" s="496" t="s">
        <v>166</v>
      </c>
      <c r="Q278" s="556" t="s">
        <v>167</v>
      </c>
      <c r="R278" s="572">
        <f>60*SUM(M278:M281)/F278</f>
        <v>0.46899661781285673</v>
      </c>
      <c r="S278" s="568">
        <f>100*SUM(M278:M281)/P281</f>
        <v>0.660808943675119</v>
      </c>
      <c r="T278" s="569">
        <f>1000*SUM(M278:M281)/P281</f>
        <v>6.6080894367511904</v>
      </c>
      <c r="U278" s="553"/>
      <c r="V278" s="554"/>
      <c r="W278" s="555"/>
      <c r="X278" s="492"/>
      <c r="Y278" s="492"/>
      <c r="Z278" s="492"/>
    </row>
    <row r="279" spans="1:26" ht="15.6" x14ac:dyDescent="0.3">
      <c r="A279" s="570"/>
      <c r="B279" s="566" t="s">
        <v>198</v>
      </c>
      <c r="C279" s="571"/>
      <c r="D279" s="566"/>
      <c r="E279" s="566"/>
      <c r="F279" s="566"/>
      <c r="G279" s="554" t="s">
        <v>65</v>
      </c>
      <c r="H279" s="514" t="s">
        <v>62</v>
      </c>
      <c r="I279" s="523" t="s">
        <v>127</v>
      </c>
      <c r="J279" s="553" t="s">
        <v>23</v>
      </c>
      <c r="K279" s="568">
        <v>20.190999999999999</v>
      </c>
      <c r="L279" s="568">
        <v>20.341999999999999</v>
      </c>
      <c r="M279" s="569">
        <f>L279-K279</f>
        <v>0.1509999999999998</v>
      </c>
      <c r="N279" s="553">
        <f>12-3/16-2*4/16</f>
        <v>11.3125</v>
      </c>
      <c r="O279" s="554">
        <f>15+1/4</f>
        <v>15.25</v>
      </c>
      <c r="P279" s="524">
        <v>0.17423312883435582</v>
      </c>
      <c r="Q279" s="556">
        <f>N279*3.14159*O279</f>
        <v>541.97336234374995</v>
      </c>
      <c r="R279" s="572"/>
      <c r="S279" s="568"/>
      <c r="T279" s="569"/>
      <c r="U279" s="553"/>
      <c r="V279" s="554"/>
      <c r="W279" s="555"/>
      <c r="X279" s="492"/>
      <c r="Y279" s="492"/>
      <c r="Z279" s="492"/>
    </row>
    <row r="280" spans="1:26" ht="15.6" x14ac:dyDescent="0.3">
      <c r="A280" s="570"/>
      <c r="B280" s="566" t="s">
        <v>186</v>
      </c>
      <c r="C280" s="571"/>
      <c r="D280" s="566"/>
      <c r="E280" s="566"/>
      <c r="F280" s="566"/>
      <c r="G280" s="554"/>
      <c r="H280" s="514" t="s">
        <v>63</v>
      </c>
      <c r="I280" s="523"/>
      <c r="J280" s="553" t="s">
        <v>26</v>
      </c>
      <c r="K280" s="568">
        <v>20.111999999999998</v>
      </c>
      <c r="L280" s="568">
        <v>20.271000000000001</v>
      </c>
      <c r="M280" s="569">
        <f>L280-K280</f>
        <v>0.15900000000000247</v>
      </c>
      <c r="N280" s="492"/>
      <c r="O280" s="492"/>
      <c r="P280" s="493"/>
      <c r="Q280" s="556"/>
      <c r="R280" s="572"/>
      <c r="S280" s="568"/>
      <c r="T280" s="569"/>
      <c r="U280" s="573"/>
      <c r="V280" s="574"/>
      <c r="W280" s="575"/>
      <c r="X280" s="492"/>
      <c r="Y280" s="492"/>
      <c r="Z280" s="492"/>
    </row>
    <row r="281" spans="1:26" ht="15.6" x14ac:dyDescent="0.3">
      <c r="A281" s="570"/>
      <c r="B281" s="566"/>
      <c r="C281" s="571"/>
      <c r="D281" s="566"/>
      <c r="E281" s="566"/>
      <c r="F281" s="566"/>
      <c r="G281" s="554"/>
      <c r="H281" s="514"/>
      <c r="I281" s="523"/>
      <c r="J281" s="553" t="s">
        <v>25</v>
      </c>
      <c r="K281" s="568">
        <v>19.91</v>
      </c>
      <c r="L281" s="568">
        <v>20.068000000000001</v>
      </c>
      <c r="M281" s="569">
        <f>L281-K281</f>
        <v>0.15800000000000125</v>
      </c>
      <c r="N281" s="573" t="s">
        <v>18</v>
      </c>
      <c r="O281" s="574"/>
      <c r="P281" s="568">
        <f>Q279*P279</f>
        <v>94.429714666027593</v>
      </c>
      <c r="Q281" s="556" t="s">
        <v>163</v>
      </c>
      <c r="R281" s="572"/>
      <c r="S281" s="568"/>
      <c r="T281" s="569"/>
      <c r="U281" s="553"/>
      <c r="V281" s="554"/>
      <c r="W281" s="555"/>
      <c r="X281" s="492"/>
      <c r="Y281" s="492"/>
      <c r="Z281" s="492"/>
    </row>
    <row r="282" spans="1:26" ht="15.6" x14ac:dyDescent="0.3">
      <c r="A282" s="570"/>
      <c r="B282" s="566"/>
      <c r="C282" s="571"/>
      <c r="D282" s="566"/>
      <c r="E282" s="566"/>
      <c r="F282" s="566"/>
      <c r="G282" s="554"/>
      <c r="H282" s="514"/>
      <c r="I282" s="523"/>
      <c r="J282" s="553"/>
      <c r="K282" s="568"/>
      <c r="L282" s="568"/>
      <c r="M282" s="569"/>
      <c r="N282" s="553"/>
      <c r="O282" s="554"/>
      <c r="P282" s="568"/>
      <c r="Q282" s="556">
        <f>60*Q279/F278</f>
        <v>407.34563122416387</v>
      </c>
      <c r="R282" s="572"/>
      <c r="S282" s="568"/>
      <c r="T282" s="569"/>
      <c r="U282" s="553"/>
      <c r="V282" s="530"/>
      <c r="W282" s="555"/>
      <c r="X282" s="492"/>
      <c r="Y282" s="492"/>
      <c r="Z282" s="492"/>
    </row>
    <row r="283" spans="1:26" ht="15.6" x14ac:dyDescent="0.3">
      <c r="A283" s="532">
        <v>45</v>
      </c>
      <c r="B283" s="535" t="s">
        <v>104</v>
      </c>
      <c r="C283" s="564">
        <v>37684</v>
      </c>
      <c r="D283" s="535">
        <v>26.2</v>
      </c>
      <c r="E283" s="539">
        <v>146</v>
      </c>
      <c r="F283" s="535">
        <v>91.69</v>
      </c>
      <c r="G283" s="535" t="s">
        <v>196</v>
      </c>
      <c r="H283" s="533" t="s">
        <v>61</v>
      </c>
      <c r="I283" s="535" t="s">
        <v>5</v>
      </c>
      <c r="J283" s="533" t="s">
        <v>24</v>
      </c>
      <c r="K283" s="537">
        <v>19.440999999999999</v>
      </c>
      <c r="L283" s="537">
        <v>19.567</v>
      </c>
      <c r="M283" s="552">
        <f>L283-K283</f>
        <v>0.12600000000000122</v>
      </c>
      <c r="N283" s="533" t="s">
        <v>162</v>
      </c>
      <c r="O283" s="536" t="s">
        <v>169</v>
      </c>
      <c r="P283" s="540" t="s">
        <v>166</v>
      </c>
      <c r="Q283" s="541" t="s">
        <v>167</v>
      </c>
      <c r="R283" s="542">
        <f>60*SUM(M283:M286)/F283</f>
        <v>0.32980695822881306</v>
      </c>
      <c r="S283" s="537">
        <f>100*SUM(M283:M286)/P286</f>
        <v>0.71664528035193542</v>
      </c>
      <c r="T283" s="538">
        <f>1000*SUM(M283:M286)/P286</f>
        <v>7.1664528035193538</v>
      </c>
      <c r="U283" s="533"/>
      <c r="V283" s="536"/>
      <c r="W283" s="543"/>
      <c r="X283" s="492"/>
      <c r="Y283" s="492"/>
      <c r="Z283" s="492"/>
    </row>
    <row r="284" spans="1:26" ht="15.6" x14ac:dyDescent="0.3">
      <c r="A284" s="532"/>
      <c r="B284" s="535" t="s">
        <v>198</v>
      </c>
      <c r="C284" s="564"/>
      <c r="D284" s="535"/>
      <c r="E284" s="539"/>
      <c r="F284" s="535"/>
      <c r="G284" s="535" t="s">
        <v>65</v>
      </c>
      <c r="H284" s="533">
        <v>304</v>
      </c>
      <c r="I284" s="535" t="s">
        <v>127</v>
      </c>
      <c r="J284" s="533" t="s">
        <v>23</v>
      </c>
      <c r="K284" s="537">
        <v>20.327999999999999</v>
      </c>
      <c r="L284" s="537">
        <v>20.45</v>
      </c>
      <c r="M284" s="538">
        <f>L284-K284</f>
        <v>0.12199999999999989</v>
      </c>
      <c r="N284" s="533">
        <v>7.875</v>
      </c>
      <c r="O284" s="536">
        <f>16+5.5/12</f>
        <v>16.458333333333332</v>
      </c>
      <c r="P284" s="537">
        <v>0.17271910112359601</v>
      </c>
      <c r="Q284" s="541">
        <f>N284*3.14159*O284</f>
        <v>407.17951640624995</v>
      </c>
      <c r="R284" s="542"/>
      <c r="S284" s="537"/>
      <c r="T284" s="538"/>
      <c r="U284" s="533"/>
      <c r="V284" s="544"/>
      <c r="W284" s="543"/>
      <c r="X284" s="492"/>
      <c r="Y284" s="492"/>
      <c r="Z284" s="492"/>
    </row>
    <row r="285" spans="1:26" ht="15.6" x14ac:dyDescent="0.3">
      <c r="A285" s="532"/>
      <c r="B285" s="535" t="s">
        <v>185</v>
      </c>
      <c r="C285" s="564"/>
      <c r="D285" s="535"/>
      <c r="E285" s="539"/>
      <c r="F285" s="535"/>
      <c r="G285" s="535"/>
      <c r="H285" s="533"/>
      <c r="I285" s="535"/>
      <c r="J285" s="533" t="s">
        <v>26</v>
      </c>
      <c r="K285" s="537">
        <v>19.295999999999999</v>
      </c>
      <c r="L285" s="537">
        <v>19.425999999999998</v>
      </c>
      <c r="M285" s="538">
        <f>L285-K285</f>
        <v>0.12999999999999901</v>
      </c>
      <c r="N285" s="610"/>
      <c r="O285" s="536"/>
      <c r="P285" s="547"/>
      <c r="Q285" s="541"/>
      <c r="R285" s="542"/>
      <c r="S285" s="537"/>
      <c r="T285" s="538"/>
      <c r="U285" s="533"/>
      <c r="V285" s="544"/>
      <c r="W285" s="543"/>
      <c r="X285" s="492"/>
      <c r="Y285" s="492"/>
      <c r="Z285" s="492"/>
    </row>
    <row r="286" spans="1:26" ht="15.6" x14ac:dyDescent="0.3">
      <c r="A286" s="532"/>
      <c r="B286" s="535" t="s">
        <v>215</v>
      </c>
      <c r="C286" s="564"/>
      <c r="D286" s="535"/>
      <c r="E286" s="539"/>
      <c r="F286" s="535"/>
      <c r="G286" s="535"/>
      <c r="H286" s="533"/>
      <c r="I286" s="535"/>
      <c r="J286" s="533" t="s">
        <v>25</v>
      </c>
      <c r="K286" s="537">
        <v>19.626000000000001</v>
      </c>
      <c r="L286" s="537">
        <v>19.751999999999999</v>
      </c>
      <c r="M286" s="538">
        <f>L286-K286</f>
        <v>0.12599999999999767</v>
      </c>
      <c r="N286" s="549" t="s">
        <v>18</v>
      </c>
      <c r="O286" s="550"/>
      <c r="P286" s="537">
        <f>Q284*P284</f>
        <v>70.327680069628002</v>
      </c>
      <c r="Q286" s="541" t="s">
        <v>163</v>
      </c>
      <c r="R286" s="542"/>
      <c r="S286" s="537"/>
      <c r="T286" s="538"/>
      <c r="U286" s="562"/>
      <c r="V286" s="544"/>
      <c r="W286" s="543"/>
      <c r="X286" s="492"/>
      <c r="Y286" s="492"/>
      <c r="Z286" s="492"/>
    </row>
    <row r="287" spans="1:26" ht="15.6" x14ac:dyDescent="0.3">
      <c r="A287" s="532"/>
      <c r="B287" s="535"/>
      <c r="C287" s="564"/>
      <c r="D287" s="535"/>
      <c r="E287" s="539"/>
      <c r="F287" s="535"/>
      <c r="G287" s="535"/>
      <c r="H287" s="533"/>
      <c r="I287" s="535"/>
      <c r="J287" s="533"/>
      <c r="K287" s="537"/>
      <c r="L287" s="537"/>
      <c r="M287" s="538"/>
      <c r="N287" s="610"/>
      <c r="O287" s="536"/>
      <c r="P287" s="537"/>
      <c r="Q287" s="541">
        <f>60*Q284/F283</f>
        <v>266.44967809330353</v>
      </c>
      <c r="R287" s="542"/>
      <c r="S287" s="537"/>
      <c r="T287" s="538"/>
      <c r="U287" s="562"/>
      <c r="V287" s="544"/>
      <c r="W287" s="543"/>
      <c r="X287" s="492"/>
      <c r="Y287" s="492"/>
      <c r="Z287" s="492"/>
    </row>
    <row r="288" spans="1:26" ht="15.6" x14ac:dyDescent="0.3">
      <c r="A288" s="570">
        <v>46</v>
      </c>
      <c r="B288" s="566" t="s">
        <v>104</v>
      </c>
      <c r="C288" s="571">
        <v>37686</v>
      </c>
      <c r="D288" s="566">
        <v>25.8</v>
      </c>
      <c r="E288" s="490">
        <v>146</v>
      </c>
      <c r="F288" s="566">
        <v>92.59</v>
      </c>
      <c r="G288" s="513" t="s">
        <v>196</v>
      </c>
      <c r="H288" s="514" t="s">
        <v>61</v>
      </c>
      <c r="I288" s="523" t="s">
        <v>5</v>
      </c>
      <c r="J288" s="553" t="s">
        <v>24</v>
      </c>
      <c r="K288" s="568">
        <v>18.713000000000001</v>
      </c>
      <c r="L288" s="568">
        <v>18.821999999999999</v>
      </c>
      <c r="M288" s="569">
        <f>L288-K288</f>
        <v>0.10899999999999821</v>
      </c>
      <c r="N288" s="553" t="s">
        <v>162</v>
      </c>
      <c r="O288" s="554" t="s">
        <v>169</v>
      </c>
      <c r="P288" s="496" t="s">
        <v>166</v>
      </c>
      <c r="Q288" s="556" t="s">
        <v>167</v>
      </c>
      <c r="R288" s="572">
        <f>60*SUM(M288:M291)/F288</f>
        <v>0.33437736256615069</v>
      </c>
      <c r="S288" s="568">
        <f>100*SUM(M288:M291)/P291</f>
        <v>0.73875242337592861</v>
      </c>
      <c r="T288" s="569">
        <f>1000*SUM(M288:M291)/P291</f>
        <v>7.3875242337592857</v>
      </c>
      <c r="U288" s="553"/>
      <c r="V288" s="554"/>
      <c r="W288" s="555"/>
      <c r="X288" s="492"/>
      <c r="Y288" s="492"/>
      <c r="Z288" s="492"/>
    </row>
    <row r="289" spans="1:26" ht="15.6" x14ac:dyDescent="0.3">
      <c r="A289" s="570"/>
      <c r="B289" s="566" t="s">
        <v>198</v>
      </c>
      <c r="C289" s="571"/>
      <c r="D289" s="566"/>
      <c r="E289" s="490"/>
      <c r="F289" s="566"/>
      <c r="G289" s="513" t="s">
        <v>65</v>
      </c>
      <c r="H289" s="514">
        <v>304</v>
      </c>
      <c r="I289" s="523" t="s">
        <v>127</v>
      </c>
      <c r="J289" s="553" t="s">
        <v>23</v>
      </c>
      <c r="K289" s="568">
        <v>17.946999999999999</v>
      </c>
      <c r="L289" s="568">
        <v>18.085000000000001</v>
      </c>
      <c r="M289" s="569">
        <f>L289-K289</f>
        <v>0.13800000000000168</v>
      </c>
      <c r="N289" s="553">
        <f>8-2*(4/10/2.54)</f>
        <v>7.6850393700787398</v>
      </c>
      <c r="O289" s="554">
        <f>16+9/12</f>
        <v>16.75</v>
      </c>
      <c r="P289" s="568">
        <v>0.17271910112359601</v>
      </c>
      <c r="Q289" s="556">
        <f>N289*3.14159*O289</f>
        <v>404.39931748031495</v>
      </c>
      <c r="R289" s="572"/>
      <c r="S289" s="568"/>
      <c r="T289" s="569"/>
      <c r="U289" s="600"/>
      <c r="V289" s="557"/>
      <c r="W289" s="555"/>
      <c r="X289" s="492"/>
      <c r="Y289" s="492"/>
      <c r="Z289" s="492"/>
    </row>
    <row r="290" spans="1:26" ht="15.6" x14ac:dyDescent="0.3">
      <c r="A290" s="570"/>
      <c r="B290" s="566" t="s">
        <v>185</v>
      </c>
      <c r="C290" s="571"/>
      <c r="D290" s="566"/>
      <c r="E290" s="566"/>
      <c r="F290" s="566"/>
      <c r="G290" s="554"/>
      <c r="H290" s="514"/>
      <c r="I290" s="523"/>
      <c r="J290" s="553" t="s">
        <v>26</v>
      </c>
      <c r="K290" s="568">
        <v>18.896000000000001</v>
      </c>
      <c r="L290" s="568">
        <v>19.03</v>
      </c>
      <c r="M290" s="569">
        <f>L290-K290</f>
        <v>0.13400000000000034</v>
      </c>
      <c r="N290" s="492"/>
      <c r="O290" s="492"/>
      <c r="P290" s="493"/>
      <c r="Q290" s="556"/>
      <c r="R290" s="572"/>
      <c r="S290" s="568"/>
      <c r="T290" s="569"/>
      <c r="U290" s="600"/>
      <c r="V290" s="557"/>
      <c r="W290" s="555"/>
      <c r="X290" s="492"/>
      <c r="Y290" s="492"/>
      <c r="Z290" s="492"/>
    </row>
    <row r="291" spans="1:26" ht="15.6" x14ac:dyDescent="0.3">
      <c r="A291" s="570"/>
      <c r="B291" s="566" t="s">
        <v>215</v>
      </c>
      <c r="C291" s="571"/>
      <c r="D291" s="566"/>
      <c r="E291" s="566"/>
      <c r="F291" s="566"/>
      <c r="G291" s="554"/>
      <c r="H291" s="514"/>
      <c r="I291" s="523"/>
      <c r="J291" s="553" t="s">
        <v>25</v>
      </c>
      <c r="K291" s="568">
        <v>19.760000000000002</v>
      </c>
      <c r="L291" s="568">
        <v>19.895</v>
      </c>
      <c r="M291" s="569">
        <f>L291-K291</f>
        <v>0.13499999999999801</v>
      </c>
      <c r="N291" s="573" t="s">
        <v>18</v>
      </c>
      <c r="O291" s="574"/>
      <c r="P291" s="568">
        <f>Q289*P289</f>
        <v>69.84748661019573</v>
      </c>
      <c r="Q291" s="556" t="s">
        <v>163</v>
      </c>
      <c r="R291" s="572"/>
      <c r="S291" s="568"/>
      <c r="T291" s="569"/>
      <c r="U291" s="600"/>
      <c r="V291" s="557"/>
      <c r="W291" s="555"/>
      <c r="X291" s="492"/>
      <c r="Y291" s="492"/>
      <c r="Z291" s="492"/>
    </row>
    <row r="292" spans="1:26" ht="15.6" x14ac:dyDescent="0.3">
      <c r="A292" s="570"/>
      <c r="B292" s="566"/>
      <c r="C292" s="571"/>
      <c r="D292" s="566"/>
      <c r="E292" s="566"/>
      <c r="F292" s="566"/>
      <c r="G292" s="554"/>
      <c r="H292" s="514"/>
      <c r="I292" s="523"/>
      <c r="J292" s="553"/>
      <c r="K292" s="568"/>
      <c r="L292" s="568"/>
      <c r="M292" s="569"/>
      <c r="N292" s="553"/>
      <c r="O292" s="554"/>
      <c r="P292" s="568"/>
      <c r="Q292" s="556">
        <f>60*Q289/F288</f>
        <v>262.05809535391398</v>
      </c>
      <c r="R292" s="572"/>
      <c r="S292" s="568"/>
      <c r="T292" s="569"/>
      <c r="U292" s="600"/>
      <c r="V292" s="557"/>
      <c r="W292" s="555"/>
      <c r="X292" s="492"/>
      <c r="Y292" s="492"/>
      <c r="Z292" s="492"/>
    </row>
    <row r="293" spans="1:26" ht="15.6" x14ac:dyDescent="0.3">
      <c r="A293" s="532">
        <v>47</v>
      </c>
      <c r="B293" s="535" t="s">
        <v>104</v>
      </c>
      <c r="C293" s="564">
        <v>37686</v>
      </c>
      <c r="D293" s="535">
        <v>25.7</v>
      </c>
      <c r="E293" s="535">
        <v>155</v>
      </c>
      <c r="F293" s="535">
        <v>91.38</v>
      </c>
      <c r="G293" s="536" t="s">
        <v>196</v>
      </c>
      <c r="H293" s="533" t="s">
        <v>61</v>
      </c>
      <c r="I293" s="535" t="s">
        <v>5</v>
      </c>
      <c r="J293" s="533" t="s">
        <v>24</v>
      </c>
      <c r="K293" s="537">
        <v>18.722999999999999</v>
      </c>
      <c r="L293" s="537">
        <v>18.866</v>
      </c>
      <c r="M293" s="552">
        <f>L293-K293</f>
        <v>0.14300000000000068</v>
      </c>
      <c r="N293" s="533" t="s">
        <v>162</v>
      </c>
      <c r="O293" s="536" t="s">
        <v>169</v>
      </c>
      <c r="P293" s="540" t="s">
        <v>166</v>
      </c>
      <c r="Q293" s="541" t="s">
        <v>167</v>
      </c>
      <c r="R293" s="542">
        <f>60*SUM(M293:M296)/F293</f>
        <v>0.35325016414970239</v>
      </c>
      <c r="S293" s="537">
        <f>100*SUM(M293:M296)/P296</f>
        <v>0.77995049654409965</v>
      </c>
      <c r="T293" s="538">
        <f>1000*SUM(M293:M296)/P296</f>
        <v>7.7995049654409963</v>
      </c>
      <c r="U293" s="533"/>
      <c r="V293" s="536"/>
      <c r="W293" s="543"/>
      <c r="X293" s="492"/>
      <c r="Y293" s="492"/>
      <c r="Z293" s="492"/>
    </row>
    <row r="294" spans="1:26" ht="15.6" x14ac:dyDescent="0.3">
      <c r="A294" s="532"/>
      <c r="B294" s="535" t="s">
        <v>198</v>
      </c>
      <c r="C294" s="564"/>
      <c r="D294" s="535"/>
      <c r="E294" s="535"/>
      <c r="F294" s="535"/>
      <c r="G294" s="536" t="s">
        <v>65</v>
      </c>
      <c r="H294" s="533">
        <v>304</v>
      </c>
      <c r="I294" s="535" t="s">
        <v>127</v>
      </c>
      <c r="J294" s="533" t="s">
        <v>23</v>
      </c>
      <c r="K294" s="537">
        <v>18.957000000000001</v>
      </c>
      <c r="L294" s="537">
        <v>19.088999999999999</v>
      </c>
      <c r="M294" s="538">
        <f>L294-K294</f>
        <v>0.1319999999999979</v>
      </c>
      <c r="N294" s="533">
        <f>8-2*(0.4/2.54)</f>
        <v>7.6850393700787398</v>
      </c>
      <c r="O294" s="536">
        <f>16+6.5/12</f>
        <v>16.541666666666668</v>
      </c>
      <c r="P294" s="537">
        <v>0.17271910112359601</v>
      </c>
      <c r="Q294" s="541">
        <f>N294*3.14159*O294</f>
        <v>399.36947522309714</v>
      </c>
      <c r="R294" s="542"/>
      <c r="S294" s="537"/>
      <c r="T294" s="538"/>
      <c r="U294" s="562"/>
      <c r="V294" s="544"/>
      <c r="W294" s="543"/>
      <c r="X294" s="492"/>
      <c r="Y294" s="492"/>
      <c r="Z294" s="492"/>
    </row>
    <row r="295" spans="1:26" ht="15.6" x14ac:dyDescent="0.3">
      <c r="A295" s="532"/>
      <c r="B295" s="535" t="s">
        <v>185</v>
      </c>
      <c r="C295" s="564"/>
      <c r="D295" s="535"/>
      <c r="E295" s="535"/>
      <c r="F295" s="535"/>
      <c r="G295" s="536"/>
      <c r="H295" s="533"/>
      <c r="I295" s="535"/>
      <c r="J295" s="533" t="s">
        <v>26</v>
      </c>
      <c r="K295" s="537">
        <v>18.408000000000001</v>
      </c>
      <c r="L295" s="537">
        <v>18.538</v>
      </c>
      <c r="M295" s="538">
        <f>L295-K295</f>
        <v>0.12999999999999901</v>
      </c>
      <c r="N295" s="610"/>
      <c r="O295" s="536"/>
      <c r="P295" s="547"/>
      <c r="Q295" s="541"/>
      <c r="R295" s="542"/>
      <c r="S295" s="537"/>
      <c r="T295" s="538"/>
      <c r="U295" s="549"/>
      <c r="V295" s="550"/>
      <c r="W295" s="551"/>
      <c r="X295" s="492"/>
      <c r="Y295" s="492"/>
      <c r="Z295" s="492"/>
    </row>
    <row r="296" spans="1:26" ht="15.6" x14ac:dyDescent="0.3">
      <c r="A296" s="532"/>
      <c r="B296" s="535"/>
      <c r="C296" s="564"/>
      <c r="D296" s="535"/>
      <c r="E296" s="535"/>
      <c r="F296" s="535"/>
      <c r="G296" s="536"/>
      <c r="H296" s="533"/>
      <c r="I296" s="535"/>
      <c r="J296" s="533" t="s">
        <v>25</v>
      </c>
      <c r="K296" s="537">
        <v>19.324999999999999</v>
      </c>
      <c r="L296" s="537">
        <v>19.457999999999998</v>
      </c>
      <c r="M296" s="538">
        <f>L296-K296</f>
        <v>0.13299999999999912</v>
      </c>
      <c r="N296" s="549" t="s">
        <v>18</v>
      </c>
      <c r="O296" s="550"/>
      <c r="P296" s="537">
        <f>Q294*P294</f>
        <v>68.978736776735587</v>
      </c>
      <c r="Q296" s="541" t="s">
        <v>163</v>
      </c>
      <c r="R296" s="542"/>
      <c r="S296" s="537"/>
      <c r="T296" s="538"/>
      <c r="U296" s="562"/>
      <c r="V296" s="544"/>
      <c r="W296" s="543"/>
      <c r="X296" s="492"/>
      <c r="Y296" s="492"/>
      <c r="Z296" s="492"/>
    </row>
    <row r="297" spans="1:26" ht="15.6" x14ac:dyDescent="0.3">
      <c r="A297" s="532"/>
      <c r="B297" s="535"/>
      <c r="C297" s="564"/>
      <c r="D297" s="535"/>
      <c r="E297" s="535"/>
      <c r="F297" s="535"/>
      <c r="G297" s="536"/>
      <c r="H297" s="533"/>
      <c r="I297" s="535"/>
      <c r="J297" s="533"/>
      <c r="K297" s="537"/>
      <c r="L297" s="537"/>
      <c r="M297" s="538"/>
      <c r="N297" s="610"/>
      <c r="O297" s="536"/>
      <c r="P297" s="537"/>
      <c r="Q297" s="541">
        <f>60*Q294/F293</f>
        <v>262.22552542553984</v>
      </c>
      <c r="R297" s="542"/>
      <c r="S297" s="537"/>
      <c r="T297" s="538"/>
      <c r="U297" s="562"/>
      <c r="V297" s="544"/>
      <c r="W297" s="543"/>
      <c r="X297" s="492"/>
      <c r="Y297" s="492"/>
      <c r="Z297" s="492"/>
    </row>
    <row r="298" spans="1:26" ht="15.6" x14ac:dyDescent="0.3">
      <c r="A298" s="570">
        <v>48</v>
      </c>
      <c r="B298" s="566" t="s">
        <v>104</v>
      </c>
      <c r="C298" s="571">
        <v>37706</v>
      </c>
      <c r="D298" s="566">
        <v>29.2</v>
      </c>
      <c r="E298" s="566">
        <v>249</v>
      </c>
      <c r="F298" s="566">
        <v>77.819999999999993</v>
      </c>
      <c r="G298" s="513" t="s">
        <v>199</v>
      </c>
      <c r="H298" s="523" t="s">
        <v>6</v>
      </c>
      <c r="I298" s="523" t="s">
        <v>5</v>
      </c>
      <c r="J298" s="553" t="s">
        <v>24</v>
      </c>
      <c r="K298" s="568">
        <v>20.937000000000001</v>
      </c>
      <c r="L298" s="568">
        <v>21.135000000000002</v>
      </c>
      <c r="M298" s="569">
        <f>L298-K298</f>
        <v>0.1980000000000004</v>
      </c>
      <c r="N298" s="553" t="s">
        <v>162</v>
      </c>
      <c r="O298" s="554" t="s">
        <v>169</v>
      </c>
      <c r="P298" s="496" t="s">
        <v>166</v>
      </c>
      <c r="Q298" s="556" t="s">
        <v>167</v>
      </c>
      <c r="R298" s="572">
        <f>60*SUM(M298:M301)/F298</f>
        <v>0.60138781804163821</v>
      </c>
      <c r="S298" s="568">
        <f>100*SUM(M298:M301)/P301</f>
        <v>0.82827422392155026</v>
      </c>
      <c r="T298" s="554">
        <f>1000*SUM(M298:M301)/P301</f>
        <v>8.2827422392155032</v>
      </c>
      <c r="U298" s="553"/>
      <c r="V298" s="554"/>
      <c r="W298" s="555"/>
      <c r="X298" s="492"/>
      <c r="Y298" s="492"/>
      <c r="Z298" s="492"/>
    </row>
    <row r="299" spans="1:26" ht="15.6" x14ac:dyDescent="0.3">
      <c r="A299" s="570"/>
      <c r="B299" s="566" t="s">
        <v>198</v>
      </c>
      <c r="C299" s="571"/>
      <c r="D299" s="566"/>
      <c r="E299" s="566"/>
      <c r="F299" s="566"/>
      <c r="G299" s="513" t="s">
        <v>65</v>
      </c>
      <c r="H299" s="523" t="s">
        <v>62</v>
      </c>
      <c r="I299" s="523" t="s">
        <v>127</v>
      </c>
      <c r="J299" s="553" t="s">
        <v>23</v>
      </c>
      <c r="K299" s="568">
        <v>21.266999999999999</v>
      </c>
      <c r="L299" s="568">
        <v>21.452000000000002</v>
      </c>
      <c r="M299" s="569">
        <f>L299-K299</f>
        <v>0.18500000000000227</v>
      </c>
      <c r="N299" s="553">
        <f>12-3/16-2*4/16</f>
        <v>11.3125</v>
      </c>
      <c r="O299" s="554">
        <f>15+2.5/12</f>
        <v>15.208333333333334</v>
      </c>
      <c r="P299" s="524">
        <v>0.17423312883435582</v>
      </c>
      <c r="Q299" s="556">
        <f>N299*3.14159*O299</f>
        <v>540.49256080729174</v>
      </c>
      <c r="R299" s="572"/>
      <c r="S299" s="568"/>
      <c r="T299" s="554"/>
      <c r="U299" s="600"/>
      <c r="V299" s="557"/>
      <c r="W299" s="555"/>
      <c r="X299" s="492"/>
      <c r="Y299" s="492"/>
      <c r="Z299" s="492"/>
    </row>
    <row r="300" spans="1:26" ht="15.6" x14ac:dyDescent="0.3">
      <c r="A300" s="570"/>
      <c r="B300" s="566" t="s">
        <v>216</v>
      </c>
      <c r="C300" s="571"/>
      <c r="D300" s="566"/>
      <c r="E300" s="566"/>
      <c r="F300" s="566"/>
      <c r="G300" s="554"/>
      <c r="H300" s="523" t="s">
        <v>63</v>
      </c>
      <c r="I300" s="523"/>
      <c r="J300" s="553" t="s">
        <v>26</v>
      </c>
      <c r="K300" s="568">
        <v>19.614999999999998</v>
      </c>
      <c r="L300" s="568">
        <v>19.812000000000001</v>
      </c>
      <c r="M300" s="569">
        <f>L300-K300</f>
        <v>0.19700000000000273</v>
      </c>
      <c r="N300" s="492"/>
      <c r="O300" s="492"/>
      <c r="P300" s="493"/>
      <c r="Q300" s="556"/>
      <c r="R300" s="572"/>
      <c r="S300" s="568"/>
      <c r="T300" s="554"/>
      <c r="U300" s="573"/>
      <c r="V300" s="574"/>
      <c r="W300" s="575"/>
      <c r="X300" s="492"/>
      <c r="Y300" s="492"/>
      <c r="Z300" s="492"/>
    </row>
    <row r="301" spans="1:26" ht="15.6" x14ac:dyDescent="0.3">
      <c r="A301" s="565"/>
      <c r="B301" s="554"/>
      <c r="C301" s="601"/>
      <c r="D301" s="566"/>
      <c r="E301" s="554"/>
      <c r="F301" s="566"/>
      <c r="G301" s="554"/>
      <c r="H301" s="514"/>
      <c r="I301" s="523"/>
      <c r="J301" s="553" t="s">
        <v>25</v>
      </c>
      <c r="K301" s="568">
        <v>21.167000000000002</v>
      </c>
      <c r="L301" s="568">
        <v>21.367000000000001</v>
      </c>
      <c r="M301" s="554">
        <f>L301-K301</f>
        <v>0.19999999999999929</v>
      </c>
      <c r="N301" s="573" t="s">
        <v>18</v>
      </c>
      <c r="O301" s="574"/>
      <c r="P301" s="568">
        <f>Q299*P299</f>
        <v>94.171709981147757</v>
      </c>
      <c r="Q301" s="556" t="s">
        <v>163</v>
      </c>
      <c r="R301" s="572"/>
      <c r="S301" s="568"/>
      <c r="T301" s="554"/>
      <c r="U301" s="600"/>
      <c r="V301" s="557"/>
      <c r="W301" s="555"/>
      <c r="X301" s="492"/>
      <c r="Y301" s="492"/>
      <c r="Z301" s="492"/>
    </row>
    <row r="302" spans="1:26" ht="15.6" x14ac:dyDescent="0.3">
      <c r="A302" s="565"/>
      <c r="B302" s="554"/>
      <c r="C302" s="601"/>
      <c r="D302" s="566"/>
      <c r="E302" s="554"/>
      <c r="F302" s="566"/>
      <c r="G302" s="554"/>
      <c r="H302" s="514"/>
      <c r="I302" s="523"/>
      <c r="J302" s="553"/>
      <c r="K302" s="568"/>
      <c r="L302" s="568"/>
      <c r="M302" s="554"/>
      <c r="N302" s="553"/>
      <c r="O302" s="554"/>
      <c r="P302" s="568"/>
      <c r="Q302" s="556">
        <f>60*Q299/F298</f>
        <v>416.72518180978551</v>
      </c>
      <c r="R302" s="572"/>
      <c r="S302" s="568"/>
      <c r="T302" s="554"/>
      <c r="U302" s="600"/>
      <c r="V302" s="557"/>
      <c r="W302" s="555"/>
      <c r="X302" s="492"/>
      <c r="Y302" s="492"/>
      <c r="Z302" s="492"/>
    </row>
    <row r="303" spans="1:26" ht="15.6" x14ac:dyDescent="0.3">
      <c r="A303" s="602">
        <v>49</v>
      </c>
      <c r="B303" s="536" t="s">
        <v>104</v>
      </c>
      <c r="C303" s="534">
        <v>37706</v>
      </c>
      <c r="D303" s="535">
        <v>29</v>
      </c>
      <c r="E303" s="536">
        <v>257</v>
      </c>
      <c r="F303" s="535">
        <v>79.31</v>
      </c>
      <c r="G303" s="536" t="s">
        <v>199</v>
      </c>
      <c r="H303" s="533" t="s">
        <v>217</v>
      </c>
      <c r="I303" s="535" t="s">
        <v>5</v>
      </c>
      <c r="J303" s="533" t="s">
        <v>24</v>
      </c>
      <c r="K303" s="537">
        <v>20.827999999999999</v>
      </c>
      <c r="L303" s="537">
        <v>21.02</v>
      </c>
      <c r="M303" s="536">
        <f>L303-K303</f>
        <v>0.19200000000000017</v>
      </c>
      <c r="N303" s="533" t="s">
        <v>162</v>
      </c>
      <c r="O303" s="536" t="s">
        <v>169</v>
      </c>
      <c r="P303" s="540" t="s">
        <v>166</v>
      </c>
      <c r="Q303" s="541" t="s">
        <v>167</v>
      </c>
      <c r="R303" s="542">
        <f>60*SUM(M303:M306)/F303</f>
        <v>0.56436767116378661</v>
      </c>
      <c r="S303" s="537">
        <f>100*SUM(M303:M306)/P306</f>
        <v>0.79434625398561909</v>
      </c>
      <c r="T303" s="538">
        <f>1000*SUM(M303:M306)/P306</f>
        <v>7.9434625398561911</v>
      </c>
      <c r="U303" s="533"/>
      <c r="V303" s="536"/>
      <c r="W303" s="543"/>
      <c r="X303" s="492"/>
      <c r="Y303" s="492"/>
      <c r="Z303" s="492"/>
    </row>
    <row r="304" spans="1:26" ht="15.6" x14ac:dyDescent="0.3">
      <c r="A304" s="602"/>
      <c r="B304" s="536" t="s">
        <v>198</v>
      </c>
      <c r="C304" s="534"/>
      <c r="D304" s="535"/>
      <c r="E304" s="536"/>
      <c r="F304" s="535"/>
      <c r="G304" s="536" t="s">
        <v>65</v>
      </c>
      <c r="H304" s="533" t="s">
        <v>62</v>
      </c>
      <c r="I304" s="535" t="s">
        <v>127</v>
      </c>
      <c r="J304" s="533" t="s">
        <v>23</v>
      </c>
      <c r="K304" s="537">
        <v>22.773</v>
      </c>
      <c r="L304" s="537">
        <v>22.948</v>
      </c>
      <c r="M304" s="536">
        <f>L304-K304</f>
        <v>0.17500000000000071</v>
      </c>
      <c r="N304" s="533">
        <f>11.8125-2*4/16</f>
        <v>11.3125</v>
      </c>
      <c r="O304" s="536">
        <f>15+2/12</f>
        <v>15.166666666666666</v>
      </c>
      <c r="P304" s="537">
        <v>0.17423312883435599</v>
      </c>
      <c r="Q304" s="541">
        <f>N304*3.14159*O304</f>
        <v>539.01175927083329</v>
      </c>
      <c r="R304" s="542"/>
      <c r="S304" s="537"/>
      <c r="T304" s="538"/>
      <c r="U304" s="562"/>
      <c r="V304" s="544"/>
      <c r="W304" s="543"/>
      <c r="X304" s="492"/>
      <c r="Y304" s="492"/>
      <c r="Z304" s="492"/>
    </row>
    <row r="305" spans="1:26" ht="15.6" x14ac:dyDescent="0.3">
      <c r="A305" s="602"/>
      <c r="B305" s="536" t="s">
        <v>216</v>
      </c>
      <c r="C305" s="534"/>
      <c r="D305" s="535"/>
      <c r="E305" s="536"/>
      <c r="F305" s="535"/>
      <c r="G305" s="536"/>
      <c r="H305" s="533" t="s">
        <v>63</v>
      </c>
      <c r="I305" s="535"/>
      <c r="J305" s="533" t="s">
        <v>26</v>
      </c>
      <c r="K305" s="537">
        <v>22.489000000000001</v>
      </c>
      <c r="L305" s="537">
        <v>22.677</v>
      </c>
      <c r="M305" s="536">
        <f>L305-K305</f>
        <v>0.18799999999999883</v>
      </c>
      <c r="N305" s="610"/>
      <c r="O305" s="536"/>
      <c r="P305" s="547"/>
      <c r="Q305" s="541"/>
      <c r="R305" s="542"/>
      <c r="S305" s="537"/>
      <c r="T305" s="538"/>
      <c r="U305" s="549"/>
      <c r="V305" s="550"/>
      <c r="W305" s="551"/>
      <c r="X305" s="492"/>
      <c r="Y305" s="492"/>
      <c r="Z305" s="492"/>
    </row>
    <row r="306" spans="1:26" ht="15.6" x14ac:dyDescent="0.3">
      <c r="A306" s="602"/>
      <c r="B306" s="536"/>
      <c r="C306" s="534"/>
      <c r="D306" s="535"/>
      <c r="E306" s="536"/>
      <c r="F306" s="535"/>
      <c r="G306" s="536"/>
      <c r="H306" s="533"/>
      <c r="I306" s="535"/>
      <c r="J306" s="533" t="s">
        <v>25</v>
      </c>
      <c r="K306" s="537">
        <v>18.984000000000002</v>
      </c>
      <c r="L306" s="537">
        <v>19.175000000000001</v>
      </c>
      <c r="M306" s="536">
        <f>L306-K306</f>
        <v>0.19099999999999895</v>
      </c>
      <c r="N306" s="549" t="s">
        <v>18</v>
      </c>
      <c r="O306" s="550"/>
      <c r="P306" s="537">
        <f>Q304*P304</f>
        <v>93.913705296267977</v>
      </c>
      <c r="Q306" s="541" t="s">
        <v>163</v>
      </c>
      <c r="R306" s="542"/>
      <c r="S306" s="537"/>
      <c r="T306" s="538"/>
      <c r="U306" s="562"/>
      <c r="V306" s="544"/>
      <c r="W306" s="543"/>
      <c r="X306" s="492"/>
      <c r="Y306" s="492"/>
      <c r="Z306" s="492"/>
    </row>
    <row r="307" spans="1:26" ht="15.6" x14ac:dyDescent="0.3">
      <c r="A307" s="602"/>
      <c r="B307" s="536"/>
      <c r="C307" s="534"/>
      <c r="D307" s="535"/>
      <c r="E307" s="536"/>
      <c r="F307" s="535"/>
      <c r="G307" s="536"/>
      <c r="H307" s="533"/>
      <c r="I307" s="535"/>
      <c r="J307" s="533"/>
      <c r="K307" s="537"/>
      <c r="L307" s="537"/>
      <c r="M307" s="536"/>
      <c r="N307" s="610"/>
      <c r="O307" s="536"/>
      <c r="P307" s="537"/>
      <c r="Q307" s="541">
        <f>60*Q304/F303</f>
        <v>407.77588647396288</v>
      </c>
      <c r="R307" s="542"/>
      <c r="S307" s="537"/>
      <c r="T307" s="538"/>
      <c r="U307" s="562"/>
      <c r="V307" s="544"/>
      <c r="W307" s="543"/>
      <c r="X307" s="492"/>
      <c r="Y307" s="492"/>
      <c r="Z307" s="492"/>
    </row>
    <row r="308" spans="1:26" ht="15.6" x14ac:dyDescent="0.3">
      <c r="A308" s="565">
        <v>50</v>
      </c>
      <c r="B308" s="554" t="s">
        <v>104</v>
      </c>
      <c r="C308" s="601">
        <v>37707</v>
      </c>
      <c r="D308" s="566">
        <v>29.4</v>
      </c>
      <c r="E308" s="554">
        <v>233</v>
      </c>
      <c r="F308" s="566">
        <v>76.16</v>
      </c>
      <c r="G308" s="513" t="s">
        <v>199</v>
      </c>
      <c r="H308" s="514" t="s">
        <v>6</v>
      </c>
      <c r="I308" s="523" t="s">
        <v>5</v>
      </c>
      <c r="J308" s="553" t="s">
        <v>219</v>
      </c>
      <c r="K308" s="613" t="s">
        <v>220</v>
      </c>
      <c r="L308" s="613"/>
      <c r="M308" s="554">
        <f>AVERAGE(M309:M311)</f>
        <v>0.21233333333333468</v>
      </c>
      <c r="N308" s="553" t="s">
        <v>162</v>
      </c>
      <c r="O308" s="554" t="s">
        <v>169</v>
      </c>
      <c r="P308" s="496" t="s">
        <v>166</v>
      </c>
      <c r="Q308" s="556" t="s">
        <v>167</v>
      </c>
      <c r="R308" s="572">
        <f>60*SUM(M308:M311)/F308</f>
        <v>0.66911764705882781</v>
      </c>
      <c r="S308" s="568">
        <f>100*SUM(M308:M311)/P311</f>
        <v>0.9149557442488413</v>
      </c>
      <c r="T308" s="569">
        <f>1000*SUM(M308:M311)/P311</f>
        <v>9.1495574424884119</v>
      </c>
      <c r="U308" s="553"/>
      <c r="V308" s="554"/>
      <c r="W308" s="555"/>
      <c r="X308" s="492"/>
      <c r="Y308" s="492"/>
      <c r="Z308" s="492"/>
    </row>
    <row r="309" spans="1:26" ht="15.6" x14ac:dyDescent="0.3">
      <c r="A309" s="565"/>
      <c r="B309" s="554" t="s">
        <v>198</v>
      </c>
      <c r="C309" s="601"/>
      <c r="D309" s="566"/>
      <c r="E309" s="554"/>
      <c r="F309" s="566"/>
      <c r="G309" s="513" t="s">
        <v>65</v>
      </c>
      <c r="H309" s="514" t="s">
        <v>62</v>
      </c>
      <c r="I309" s="523" t="s">
        <v>127</v>
      </c>
      <c r="J309" s="553" t="s">
        <v>193</v>
      </c>
      <c r="K309" s="568">
        <v>17.709</v>
      </c>
      <c r="L309" s="568">
        <v>17.917000000000002</v>
      </c>
      <c r="M309" s="554">
        <f>L309-K309</f>
        <v>0.20800000000000196</v>
      </c>
      <c r="N309" s="553">
        <f>12-3/16-2*3/10</f>
        <v>11.2125</v>
      </c>
      <c r="O309" s="554">
        <f>15+1.5/12</f>
        <v>15.125</v>
      </c>
      <c r="P309" s="524">
        <v>0.17423312883435582</v>
      </c>
      <c r="Q309" s="556">
        <f>N309*3.14159*O309</f>
        <v>532.77930285937498</v>
      </c>
      <c r="R309" s="572"/>
      <c r="S309" s="568"/>
      <c r="T309" s="554"/>
      <c r="U309" s="600"/>
      <c r="V309" s="557"/>
      <c r="W309" s="555"/>
      <c r="X309" s="492"/>
      <c r="Y309" s="492"/>
      <c r="Z309" s="492"/>
    </row>
    <row r="310" spans="1:26" ht="15.6" x14ac:dyDescent="0.3">
      <c r="A310" s="565"/>
      <c r="B310" s="554" t="s">
        <v>216</v>
      </c>
      <c r="C310" s="601"/>
      <c r="D310" s="566"/>
      <c r="E310" s="554"/>
      <c r="F310" s="566"/>
      <c r="G310" s="554"/>
      <c r="H310" s="514" t="s">
        <v>63</v>
      </c>
      <c r="I310" s="523"/>
      <c r="J310" s="553" t="s">
        <v>26</v>
      </c>
      <c r="K310" s="568">
        <v>17.757999999999999</v>
      </c>
      <c r="L310" s="568">
        <v>17.981999999999999</v>
      </c>
      <c r="M310" s="554">
        <f>L310-K310</f>
        <v>0.2240000000000002</v>
      </c>
      <c r="N310" s="611"/>
      <c r="O310" s="554"/>
      <c r="P310" s="568"/>
      <c r="Q310" s="556"/>
      <c r="R310" s="572"/>
      <c r="S310" s="568"/>
      <c r="T310" s="569"/>
      <c r="U310" s="600"/>
      <c r="V310" s="557"/>
      <c r="W310" s="555"/>
      <c r="X310" s="492"/>
      <c r="Y310" s="492"/>
      <c r="Z310" s="492"/>
    </row>
    <row r="311" spans="1:26" ht="15.6" x14ac:dyDescent="0.3">
      <c r="A311" s="565"/>
      <c r="B311" s="566"/>
      <c r="C311" s="567"/>
      <c r="D311" s="566"/>
      <c r="E311" s="554"/>
      <c r="F311" s="566"/>
      <c r="G311" s="554"/>
      <c r="H311" s="523"/>
      <c r="I311" s="513"/>
      <c r="J311" s="553" t="s">
        <v>25</v>
      </c>
      <c r="K311" s="568">
        <v>16.606999999999999</v>
      </c>
      <c r="L311" s="568">
        <v>16.812000000000001</v>
      </c>
      <c r="M311" s="554">
        <f>L311-K311</f>
        <v>0.20500000000000185</v>
      </c>
      <c r="N311" s="573" t="s">
        <v>18</v>
      </c>
      <c r="O311" s="574"/>
      <c r="P311" s="568">
        <f>Q309*P309</f>
        <v>92.827804915375765</v>
      </c>
      <c r="Q311" s="556" t="s">
        <v>163</v>
      </c>
      <c r="R311" s="572"/>
      <c r="S311" s="568"/>
      <c r="T311" s="554"/>
      <c r="U311" s="600"/>
      <c r="V311" s="557"/>
      <c r="W311" s="555"/>
      <c r="X311" s="492"/>
      <c r="Y311" s="492"/>
      <c r="Z311" s="492"/>
    </row>
    <row r="312" spans="1:26" ht="16.2" thickBot="1" x14ac:dyDescent="0.35">
      <c r="A312" s="603"/>
      <c r="B312" s="578"/>
      <c r="C312" s="612"/>
      <c r="D312" s="578"/>
      <c r="E312" s="589"/>
      <c r="F312" s="578"/>
      <c r="G312" s="589"/>
      <c r="H312" s="605"/>
      <c r="I312" s="580"/>
      <c r="J312" s="582"/>
      <c r="K312" s="583"/>
      <c r="L312" s="583"/>
      <c r="M312" s="589"/>
      <c r="N312" s="582"/>
      <c r="O312" s="589"/>
      <c r="P312" s="583"/>
      <c r="Q312" s="586">
        <f>60*Q309/F308</f>
        <v>419.73159363921349</v>
      </c>
      <c r="R312" s="587"/>
      <c r="S312" s="583"/>
      <c r="T312" s="589"/>
      <c r="U312" s="608"/>
      <c r="V312" s="609"/>
      <c r="W312" s="590"/>
      <c r="X312" s="492"/>
      <c r="Y312" s="492"/>
      <c r="Z312" s="492"/>
    </row>
    <row r="313" spans="1:26" ht="15.6" x14ac:dyDescent="0.3">
      <c r="A313" s="490"/>
      <c r="B313" s="490"/>
      <c r="C313" s="495"/>
      <c r="D313" s="490"/>
      <c r="E313" s="490"/>
      <c r="F313" s="490"/>
      <c r="G313" s="490"/>
      <c r="H313" s="490"/>
      <c r="I313" s="490"/>
      <c r="J313" s="490"/>
      <c r="K313" s="496"/>
      <c r="L313" s="496"/>
      <c r="M313" s="591"/>
      <c r="N313" s="490"/>
      <c r="O313" s="490"/>
      <c r="P313" s="496"/>
      <c r="Q313" s="497"/>
      <c r="R313" s="496"/>
      <c r="S313" s="496"/>
      <c r="T313" s="490"/>
      <c r="U313" s="492"/>
      <c r="V313" s="492"/>
      <c r="W313" s="492"/>
      <c r="X313" s="492"/>
      <c r="Y313" s="492"/>
      <c r="Z313" s="492"/>
    </row>
    <row r="314" spans="1:26" ht="15.6" x14ac:dyDescent="0.3">
      <c r="A314" s="596" t="s">
        <v>221</v>
      </c>
      <c r="B314" s="596" t="s">
        <v>222</v>
      </c>
      <c r="C314" s="495"/>
      <c r="D314" s="490"/>
      <c r="E314" s="490"/>
      <c r="F314" s="490"/>
      <c r="G314" s="490"/>
      <c r="H314" s="490"/>
      <c r="I314" s="490"/>
      <c r="J314" s="490"/>
      <c r="K314" s="496"/>
      <c r="L314" s="496"/>
      <c r="M314" s="591"/>
      <c r="N314" s="490"/>
      <c r="O314" s="490"/>
      <c r="P314" s="496"/>
      <c r="Q314" s="497"/>
      <c r="R314" s="496"/>
      <c r="S314" s="496"/>
      <c r="T314" s="490"/>
      <c r="U314" s="492"/>
      <c r="V314" s="492"/>
      <c r="W314" s="492"/>
      <c r="X314" s="492"/>
      <c r="Y314" s="492"/>
      <c r="Z314" s="492"/>
    </row>
    <row r="315" spans="1:26" ht="15.6" x14ac:dyDescent="0.3">
      <c r="A315" s="596"/>
      <c r="B315" s="490"/>
      <c r="C315" s="495"/>
      <c r="D315" s="490"/>
      <c r="E315" s="490"/>
      <c r="F315" s="490"/>
      <c r="G315" s="490"/>
      <c r="H315" s="490"/>
      <c r="I315" s="490"/>
      <c r="J315" s="490"/>
      <c r="K315" s="496"/>
      <c r="L315" s="496"/>
      <c r="M315" s="591"/>
      <c r="N315" s="490"/>
      <c r="O315" s="490"/>
      <c r="P315" s="496"/>
      <c r="Q315" s="497"/>
      <c r="R315" s="496"/>
      <c r="S315" s="496"/>
      <c r="T315" s="490"/>
      <c r="U315" s="492"/>
      <c r="V315" s="492"/>
      <c r="W315" s="492"/>
      <c r="X315" s="492"/>
      <c r="Y315" s="492"/>
      <c r="Z315" s="492"/>
    </row>
    <row r="316" spans="1:26" ht="15.6" x14ac:dyDescent="0.3">
      <c r="A316" s="596"/>
      <c r="B316" s="490"/>
      <c r="C316" s="495"/>
      <c r="D316" s="490"/>
      <c r="E316" s="490"/>
      <c r="F316" s="490"/>
      <c r="G316" s="490"/>
      <c r="H316" s="490"/>
      <c r="I316" s="490"/>
      <c r="J316" s="490"/>
      <c r="K316" s="496"/>
      <c r="L316" s="496"/>
      <c r="M316" s="490"/>
      <c r="N316" s="490"/>
      <c r="O316" s="490"/>
      <c r="P316" s="496"/>
      <c r="Q316" s="497"/>
      <c r="R316" s="496"/>
      <c r="S316" s="496"/>
      <c r="T316" s="490"/>
      <c r="U316" s="492"/>
      <c r="V316" s="492"/>
      <c r="W316" s="492"/>
      <c r="X316" s="492"/>
      <c r="Y316" s="492"/>
      <c r="Z316" s="492"/>
    </row>
    <row r="317" spans="1:26" ht="15.6" x14ac:dyDescent="0.3">
      <c r="A317" s="490"/>
      <c r="B317" s="490"/>
      <c r="C317" s="495"/>
      <c r="D317" s="490"/>
      <c r="E317" s="490"/>
      <c r="F317" s="490"/>
      <c r="G317" s="490"/>
      <c r="H317" s="490"/>
      <c r="I317" s="490"/>
      <c r="J317" s="490"/>
      <c r="K317" s="496"/>
      <c r="L317" s="496"/>
      <c r="M317" s="490"/>
      <c r="N317" s="490"/>
      <c r="O317" s="490"/>
      <c r="P317" s="496"/>
      <c r="Q317" s="497"/>
      <c r="R317" s="496"/>
      <c r="S317" s="496"/>
      <c r="T317" s="490"/>
      <c r="U317" s="492"/>
      <c r="V317" s="492"/>
      <c r="W317" s="492"/>
      <c r="X317" s="492"/>
      <c r="Y317" s="492"/>
      <c r="Z317" s="492"/>
    </row>
    <row r="318" spans="1:26" ht="15.6" x14ac:dyDescent="0.3">
      <c r="A318" s="492"/>
      <c r="B318" s="490"/>
      <c r="C318" s="491"/>
      <c r="D318" s="492"/>
      <c r="E318" s="490"/>
      <c r="F318" s="492"/>
      <c r="G318" s="490"/>
      <c r="H318" s="490"/>
      <c r="I318" s="490"/>
      <c r="J318" s="492"/>
      <c r="K318" s="493"/>
      <c r="L318" s="493"/>
      <c r="M318" s="492"/>
      <c r="N318" s="492"/>
      <c r="O318" s="492"/>
      <c r="P318" s="493"/>
      <c r="Q318" s="494"/>
      <c r="R318" s="493"/>
      <c r="S318" s="493"/>
      <c r="T318" s="492"/>
      <c r="U318" s="492"/>
      <c r="V318" s="492"/>
      <c r="W318" s="492"/>
      <c r="X318" s="492"/>
      <c r="Y318" s="492"/>
      <c r="Z318" s="492"/>
    </row>
    <row r="319" spans="1:26" ht="15.6" x14ac:dyDescent="0.3">
      <c r="A319" s="492"/>
      <c r="B319" s="490"/>
      <c r="C319" s="491"/>
      <c r="D319" s="492"/>
      <c r="E319" s="490"/>
      <c r="F319" s="492"/>
      <c r="G319" s="490"/>
      <c r="H319" s="490"/>
      <c r="I319" s="490"/>
      <c r="J319" s="492"/>
      <c r="K319" s="493"/>
      <c r="L319" s="493"/>
      <c r="M319" s="492"/>
      <c r="N319" s="492"/>
      <c r="O319" s="492"/>
      <c r="P319" s="493"/>
      <c r="Q319" s="494"/>
      <c r="R319" s="493"/>
      <c r="S319" s="493"/>
      <c r="T319" s="492"/>
      <c r="U319" s="492"/>
      <c r="V319" s="492"/>
      <c r="W319" s="492"/>
      <c r="X319" s="492"/>
      <c r="Y319" s="492"/>
      <c r="Z319" s="492"/>
    </row>
    <row r="320" spans="1:26" ht="15.6" x14ac:dyDescent="0.3">
      <c r="A320" s="489" t="s">
        <v>218</v>
      </c>
      <c r="B320" s="591"/>
      <c r="C320" s="592"/>
      <c r="D320" s="591"/>
      <c r="E320" s="591"/>
      <c r="F320" s="591"/>
      <c r="G320" s="591"/>
      <c r="H320" s="490"/>
      <c r="I320" s="490"/>
      <c r="J320" s="591"/>
      <c r="K320" s="593"/>
      <c r="L320" s="593"/>
      <c r="M320" s="591"/>
      <c r="N320" s="591"/>
      <c r="O320" s="591"/>
      <c r="P320" s="593"/>
      <c r="Q320" s="594"/>
      <c r="R320" s="593"/>
      <c r="S320" s="593"/>
      <c r="T320" s="591"/>
      <c r="U320" s="492"/>
      <c r="V320" s="492"/>
      <c r="W320" s="492"/>
      <c r="X320" s="492"/>
      <c r="Y320" s="492"/>
      <c r="Z320" s="492"/>
    </row>
    <row r="321" spans="1:26" ht="15.6" x14ac:dyDescent="0.3">
      <c r="A321" s="490"/>
      <c r="B321" s="591"/>
      <c r="C321" s="592"/>
      <c r="D321" s="591"/>
      <c r="E321" s="591"/>
      <c r="F321" s="591"/>
      <c r="G321" s="591"/>
      <c r="H321" s="490"/>
      <c r="I321" s="490"/>
      <c r="J321" s="591"/>
      <c r="K321" s="593"/>
      <c r="L321" s="593"/>
      <c r="M321" s="591"/>
      <c r="N321" s="591"/>
      <c r="O321" s="591"/>
      <c r="P321" s="593"/>
      <c r="Q321" s="594"/>
      <c r="R321" s="593"/>
      <c r="S321" s="593"/>
      <c r="T321" s="591"/>
      <c r="U321" s="492"/>
      <c r="V321" s="492"/>
      <c r="W321" s="492"/>
      <c r="X321" s="492"/>
      <c r="Y321" s="492"/>
      <c r="Z321" s="492"/>
    </row>
    <row r="322" spans="1:26" ht="16.2" thickBot="1" x14ac:dyDescent="0.35">
      <c r="A322" s="490"/>
      <c r="B322" s="591"/>
      <c r="C322" s="592"/>
      <c r="D322" s="591"/>
      <c r="E322" s="591"/>
      <c r="F322" s="591"/>
      <c r="G322" s="591"/>
      <c r="H322" s="490"/>
      <c r="I322" s="490"/>
      <c r="J322" s="591"/>
      <c r="K322" s="593"/>
      <c r="L322" s="593"/>
      <c r="M322" s="591"/>
      <c r="N322" s="591"/>
      <c r="O322" s="591"/>
      <c r="P322" s="593"/>
      <c r="Q322" s="594"/>
      <c r="R322" s="593"/>
      <c r="S322" s="593"/>
      <c r="T322" s="591"/>
      <c r="U322" s="492"/>
      <c r="V322" s="492"/>
      <c r="W322" s="492"/>
      <c r="X322" s="492"/>
      <c r="Y322" s="492"/>
      <c r="Z322" s="492"/>
    </row>
    <row r="323" spans="1:26" ht="15.6" x14ac:dyDescent="0.3">
      <c r="A323" s="498" t="s">
        <v>21</v>
      </c>
      <c r="B323" s="501" t="s">
        <v>16</v>
      </c>
      <c r="C323" s="597" t="s">
        <v>7</v>
      </c>
      <c r="D323" s="501" t="s">
        <v>58</v>
      </c>
      <c r="E323" s="501" t="s">
        <v>59</v>
      </c>
      <c r="F323" s="501" t="s">
        <v>60</v>
      </c>
      <c r="G323" s="502" t="s">
        <v>14</v>
      </c>
      <c r="H323" s="499" t="s">
        <v>3</v>
      </c>
      <c r="I323" s="501" t="s">
        <v>82</v>
      </c>
      <c r="J323" s="503" t="s">
        <v>13</v>
      </c>
      <c r="K323" s="504"/>
      <c r="L323" s="504"/>
      <c r="M323" s="505"/>
      <c r="N323" s="503" t="s">
        <v>168</v>
      </c>
      <c r="O323" s="504"/>
      <c r="P323" s="504"/>
      <c r="Q323" s="505"/>
      <c r="R323" s="503" t="s">
        <v>30</v>
      </c>
      <c r="S323" s="504"/>
      <c r="T323" s="505"/>
      <c r="U323" s="506" t="s">
        <v>31</v>
      </c>
      <c r="V323" s="507"/>
      <c r="W323" s="508"/>
      <c r="X323" s="492"/>
      <c r="Y323" s="492"/>
      <c r="Z323" s="492"/>
    </row>
    <row r="324" spans="1:26" ht="15.6" x14ac:dyDescent="0.3">
      <c r="A324" s="509"/>
      <c r="B324" s="512"/>
      <c r="C324" s="598"/>
      <c r="D324" s="512"/>
      <c r="E324" s="512"/>
      <c r="F324" s="512"/>
      <c r="G324" s="517"/>
      <c r="H324" s="514"/>
      <c r="I324" s="523"/>
      <c r="J324" s="510"/>
      <c r="K324" s="515" t="s">
        <v>10</v>
      </c>
      <c r="L324" s="515" t="s">
        <v>11</v>
      </c>
      <c r="M324" s="516" t="s">
        <v>12</v>
      </c>
      <c r="N324" s="510"/>
      <c r="O324" s="517"/>
      <c r="P324" s="515"/>
      <c r="Q324" s="518"/>
      <c r="R324" s="519" t="s">
        <v>9</v>
      </c>
      <c r="S324" s="515" t="s">
        <v>15</v>
      </c>
      <c r="T324" s="516" t="s">
        <v>20</v>
      </c>
      <c r="U324" s="519" t="s">
        <v>9</v>
      </c>
      <c r="V324" s="515" t="s">
        <v>15</v>
      </c>
      <c r="W324" s="520" t="s">
        <v>20</v>
      </c>
      <c r="X324" s="492"/>
      <c r="Y324" s="492"/>
      <c r="Z324" s="492"/>
    </row>
    <row r="325" spans="1:26" ht="15.6" x14ac:dyDescent="0.3">
      <c r="A325" s="521"/>
      <c r="B325" s="514"/>
      <c r="C325" s="522"/>
      <c r="D325" s="514" t="s">
        <v>74</v>
      </c>
      <c r="E325" s="514" t="s">
        <v>75</v>
      </c>
      <c r="F325" s="523" t="s">
        <v>76</v>
      </c>
      <c r="G325" s="523"/>
      <c r="H325" s="513"/>
      <c r="I325" s="523"/>
      <c r="J325" s="514"/>
      <c r="K325" s="524" t="s">
        <v>4</v>
      </c>
      <c r="L325" s="524" t="s">
        <v>4</v>
      </c>
      <c r="M325" s="513" t="s">
        <v>4</v>
      </c>
      <c r="N325" s="514"/>
      <c r="O325" s="513"/>
      <c r="P325" s="513"/>
      <c r="Q325" s="525"/>
      <c r="R325" s="526"/>
      <c r="S325" s="524"/>
      <c r="T325" s="527"/>
      <c r="U325" s="526"/>
      <c r="V325" s="524"/>
      <c r="W325" s="528"/>
      <c r="X325" s="492"/>
      <c r="Y325" s="492"/>
      <c r="Z325" s="492"/>
    </row>
    <row r="326" spans="1:26" ht="15.6" x14ac:dyDescent="0.3">
      <c r="A326" s="521"/>
      <c r="B326" s="566"/>
      <c r="C326" s="571"/>
      <c r="D326" s="566"/>
      <c r="E326" s="566"/>
      <c r="F326" s="566"/>
      <c r="G326" s="554"/>
      <c r="H326" s="514"/>
      <c r="I326" s="523"/>
      <c r="J326" s="553"/>
      <c r="K326" s="568"/>
      <c r="L326" s="568"/>
      <c r="M326" s="569"/>
      <c r="N326" s="553"/>
      <c r="O326" s="554"/>
      <c r="P326" s="568"/>
      <c r="Q326" s="556"/>
      <c r="R326" s="572" t="s">
        <v>1</v>
      </c>
      <c r="S326" s="568"/>
      <c r="T326" s="569"/>
      <c r="U326" s="563"/>
      <c r="V326" s="530"/>
      <c r="W326" s="531"/>
      <c r="X326" s="492"/>
      <c r="Y326" s="492"/>
      <c r="Z326" s="492"/>
    </row>
    <row r="327" spans="1:26" ht="15.6" x14ac:dyDescent="0.3">
      <c r="A327" s="532">
        <v>51</v>
      </c>
      <c r="B327" s="535" t="s">
        <v>104</v>
      </c>
      <c r="C327" s="564">
        <v>37707</v>
      </c>
      <c r="D327" s="535">
        <v>26.2</v>
      </c>
      <c r="E327" s="535">
        <v>147</v>
      </c>
      <c r="F327" s="535">
        <v>88.5</v>
      </c>
      <c r="G327" s="536" t="s">
        <v>196</v>
      </c>
      <c r="H327" s="533" t="s">
        <v>61</v>
      </c>
      <c r="I327" s="535" t="s">
        <v>5</v>
      </c>
      <c r="J327" s="533" t="s">
        <v>24</v>
      </c>
      <c r="K327" s="537">
        <v>17.457999999999998</v>
      </c>
      <c r="L327" s="537">
        <v>17.619</v>
      </c>
      <c r="M327" s="538">
        <f>L327-K327</f>
        <v>0.16100000000000136</v>
      </c>
      <c r="N327" s="533" t="s">
        <v>162</v>
      </c>
      <c r="O327" s="536" t="s">
        <v>169</v>
      </c>
      <c r="P327" s="540" t="s">
        <v>166</v>
      </c>
      <c r="Q327" s="541" t="s">
        <v>167</v>
      </c>
      <c r="R327" s="542">
        <f>60*SUM(M327:M330)/F327</f>
        <v>0.44067796610169635</v>
      </c>
      <c r="S327" s="537">
        <f>100*SUM(M327:M330)/P330</f>
        <v>0.96169869187606594</v>
      </c>
      <c r="T327" s="538">
        <f>1000*SUM(M327:M330)/P330</f>
        <v>9.6169869187606594</v>
      </c>
      <c r="U327" s="533"/>
      <c r="V327" s="536"/>
      <c r="W327" s="543"/>
      <c r="X327" s="492"/>
      <c r="Y327" s="492"/>
      <c r="Z327" s="492"/>
    </row>
    <row r="328" spans="1:26" ht="15.6" x14ac:dyDescent="0.3">
      <c r="A328" s="532"/>
      <c r="B328" s="535" t="s">
        <v>198</v>
      </c>
      <c r="C328" s="564"/>
      <c r="D328" s="535"/>
      <c r="E328" s="535"/>
      <c r="F328" s="535"/>
      <c r="G328" s="536" t="s">
        <v>65</v>
      </c>
      <c r="H328" s="533">
        <v>304</v>
      </c>
      <c r="I328" s="535" t="s">
        <v>127</v>
      </c>
      <c r="J328" s="533" t="s">
        <v>23</v>
      </c>
      <c r="K328" s="537">
        <v>16.940000000000001</v>
      </c>
      <c r="L328" s="537">
        <v>17.109000000000002</v>
      </c>
      <c r="M328" s="538">
        <f>L328-K328</f>
        <v>0.16900000000000048</v>
      </c>
      <c r="N328" s="533">
        <f>8-2*0.4/2.54</f>
        <v>7.6850393700787398</v>
      </c>
      <c r="O328" s="536">
        <f>16+2.5/12</f>
        <v>16.208333333333332</v>
      </c>
      <c r="P328" s="537">
        <v>0.17271910112359601</v>
      </c>
      <c r="Q328" s="541">
        <f>N328*3.14159*O328</f>
        <v>391.32172761154851</v>
      </c>
      <c r="R328" s="542"/>
      <c r="S328" s="537"/>
      <c r="T328" s="538"/>
      <c r="U328" s="533"/>
      <c r="V328" s="536"/>
      <c r="W328" s="543"/>
      <c r="X328" s="492"/>
      <c r="Y328" s="492"/>
      <c r="Z328" s="492"/>
    </row>
    <row r="329" spans="1:26" ht="15.6" x14ac:dyDescent="0.3">
      <c r="A329" s="532"/>
      <c r="B329" s="535" t="s">
        <v>223</v>
      </c>
      <c r="C329" s="564"/>
      <c r="D329" s="535"/>
      <c r="E329" s="535"/>
      <c r="F329" s="535"/>
      <c r="G329" s="536"/>
      <c r="H329" s="533"/>
      <c r="I329" s="535"/>
      <c r="J329" s="533" t="s">
        <v>26</v>
      </c>
      <c r="K329" s="537">
        <v>18.140999999999998</v>
      </c>
      <c r="L329" s="537">
        <v>18.306999999999999</v>
      </c>
      <c r="M329" s="538">
        <f>L329-K329</f>
        <v>0.16600000000000037</v>
      </c>
      <c r="N329" s="610"/>
      <c r="O329" s="536"/>
      <c r="P329" s="547"/>
      <c r="Q329" s="541"/>
      <c r="R329" s="542"/>
      <c r="S329" s="537"/>
      <c r="T329" s="538"/>
      <c r="U329" s="549"/>
      <c r="V329" s="550"/>
      <c r="W329" s="551"/>
      <c r="X329" s="492"/>
      <c r="Y329" s="492"/>
      <c r="Z329" s="492"/>
    </row>
    <row r="330" spans="1:26" ht="15.6" x14ac:dyDescent="0.3">
      <c r="A330" s="532"/>
      <c r="B330" s="535"/>
      <c r="C330" s="564"/>
      <c r="D330" s="535"/>
      <c r="E330" s="535"/>
      <c r="F330" s="535"/>
      <c r="G330" s="536"/>
      <c r="H330" s="533"/>
      <c r="I330" s="535"/>
      <c r="J330" s="533" t="s">
        <v>25</v>
      </c>
      <c r="K330" s="537">
        <v>16.486999999999998</v>
      </c>
      <c r="L330" s="537">
        <v>16.640999999999998</v>
      </c>
      <c r="M330" s="538">
        <f>L330-K330</f>
        <v>0.15399999999999991</v>
      </c>
      <c r="N330" s="549" t="s">
        <v>18</v>
      </c>
      <c r="O330" s="550"/>
      <c r="P330" s="537">
        <f>Q328*P328</f>
        <v>67.588737043199345</v>
      </c>
      <c r="Q330" s="541" t="s">
        <v>163</v>
      </c>
      <c r="R330" s="542"/>
      <c r="S330" s="537"/>
      <c r="T330" s="538"/>
      <c r="U330" s="533"/>
      <c r="V330" s="536"/>
      <c r="W330" s="543"/>
      <c r="X330" s="492"/>
      <c r="Y330" s="492"/>
      <c r="Z330" s="492"/>
    </row>
    <row r="331" spans="1:26" ht="15.6" x14ac:dyDescent="0.3">
      <c r="A331" s="532"/>
      <c r="B331" s="535"/>
      <c r="C331" s="564"/>
      <c r="D331" s="535"/>
      <c r="E331" s="535"/>
      <c r="F331" s="535"/>
      <c r="G331" s="536"/>
      <c r="H331" s="533"/>
      <c r="I331" s="535"/>
      <c r="J331" s="533"/>
      <c r="K331" s="537"/>
      <c r="L331" s="537"/>
      <c r="M331" s="538"/>
      <c r="N331" s="610"/>
      <c r="O331" s="536"/>
      <c r="P331" s="537"/>
      <c r="Q331" s="541">
        <f>60*Q328/F327</f>
        <v>265.30286617732105</v>
      </c>
      <c r="R331" s="542"/>
      <c r="S331" s="537"/>
      <c r="T331" s="538"/>
      <c r="U331" s="533"/>
      <c r="V331" s="536"/>
      <c r="W331" s="543"/>
      <c r="X331" s="492"/>
      <c r="Y331" s="492"/>
      <c r="Z331" s="492"/>
    </row>
    <row r="332" spans="1:26" ht="15.6" x14ac:dyDescent="0.3">
      <c r="A332" s="570">
        <v>52</v>
      </c>
      <c r="B332" s="566" t="s">
        <v>104</v>
      </c>
      <c r="C332" s="571">
        <v>37707</v>
      </c>
      <c r="D332" s="566">
        <v>26.4</v>
      </c>
      <c r="E332" s="566">
        <v>149</v>
      </c>
      <c r="F332" s="566">
        <v>87.84</v>
      </c>
      <c r="G332" s="513" t="s">
        <v>196</v>
      </c>
      <c r="H332" s="514" t="s">
        <v>61</v>
      </c>
      <c r="I332" s="523" t="s">
        <v>5</v>
      </c>
      <c r="J332" s="553" t="s">
        <v>24</v>
      </c>
      <c r="K332" s="568">
        <v>17.321000000000002</v>
      </c>
      <c r="L332" s="568">
        <v>17.486000000000001</v>
      </c>
      <c r="M332" s="569">
        <f>L332-K332</f>
        <v>0.16499999999999915</v>
      </c>
      <c r="N332" s="553" t="s">
        <v>162</v>
      </c>
      <c r="O332" s="554" t="s">
        <v>169</v>
      </c>
      <c r="P332" s="496" t="s">
        <v>166</v>
      </c>
      <c r="Q332" s="556" t="s">
        <v>167</v>
      </c>
      <c r="R332" s="572">
        <f>60*SUM(M332:M335)/F332</f>
        <v>0.44398907103824914</v>
      </c>
      <c r="S332" s="568">
        <f>100*SUM(M332:M335)/P335</f>
        <v>0.96417729675202724</v>
      </c>
      <c r="T332" s="569">
        <f>1000*SUM(M332:M335)/P335</f>
        <v>9.6417729675202715</v>
      </c>
      <c r="U332" s="553"/>
      <c r="V332" s="554"/>
      <c r="W332" s="555"/>
      <c r="X332" s="492"/>
      <c r="Y332" s="492"/>
      <c r="Z332" s="492"/>
    </row>
    <row r="333" spans="1:26" ht="15.6" x14ac:dyDescent="0.3">
      <c r="A333" s="570"/>
      <c r="B333" s="566" t="s">
        <v>198</v>
      </c>
      <c r="C333" s="571"/>
      <c r="D333" s="566"/>
      <c r="E333" s="566"/>
      <c r="F333" s="566"/>
      <c r="G333" s="513" t="s">
        <v>65</v>
      </c>
      <c r="H333" s="514">
        <v>304</v>
      </c>
      <c r="I333" s="523" t="s">
        <v>127</v>
      </c>
      <c r="J333" s="553" t="s">
        <v>23</v>
      </c>
      <c r="K333" s="568">
        <v>16.762</v>
      </c>
      <c r="L333" s="568">
        <v>16.923999999999999</v>
      </c>
      <c r="M333" s="569">
        <f>L333-K333</f>
        <v>0.16199999999999903</v>
      </c>
      <c r="N333" s="553">
        <f>8-2*0.4/2.54</f>
        <v>7.6850393700787398</v>
      </c>
      <c r="O333" s="554">
        <f>16+2/12</f>
        <v>16.166666666666668</v>
      </c>
      <c r="P333" s="568">
        <v>0.17271910112359601</v>
      </c>
      <c r="Q333" s="556">
        <f>N333*3.14159*O333</f>
        <v>390.31575916010502</v>
      </c>
      <c r="R333" s="572"/>
      <c r="S333" s="568"/>
      <c r="T333" s="569"/>
      <c r="U333" s="553"/>
      <c r="V333" s="554"/>
      <c r="W333" s="555"/>
      <c r="X333" s="492"/>
      <c r="Y333" s="492"/>
      <c r="Z333" s="492"/>
    </row>
    <row r="334" spans="1:26" ht="15.6" x14ac:dyDescent="0.3">
      <c r="A334" s="570"/>
      <c r="B334" s="566" t="s">
        <v>223</v>
      </c>
      <c r="C334" s="571"/>
      <c r="D334" s="566"/>
      <c r="E334" s="566"/>
      <c r="F334" s="566"/>
      <c r="G334" s="554"/>
      <c r="H334" s="514"/>
      <c r="I334" s="523"/>
      <c r="J334" s="553" t="s">
        <v>26</v>
      </c>
      <c r="K334" s="568">
        <v>15.651</v>
      </c>
      <c r="L334" s="568">
        <v>15.815</v>
      </c>
      <c r="M334" s="569">
        <f>L334-K334</f>
        <v>0.1639999999999997</v>
      </c>
      <c r="N334" s="492"/>
      <c r="O334" s="492"/>
      <c r="P334" s="493"/>
      <c r="Q334" s="556"/>
      <c r="R334" s="572"/>
      <c r="S334" s="568"/>
      <c r="T334" s="569"/>
      <c r="U334" s="573"/>
      <c r="V334" s="574"/>
      <c r="W334" s="575"/>
      <c r="X334" s="492"/>
      <c r="Y334" s="492"/>
      <c r="Z334" s="492"/>
    </row>
    <row r="335" spans="1:26" ht="15.6" x14ac:dyDescent="0.3">
      <c r="A335" s="570"/>
      <c r="B335" s="566"/>
      <c r="C335" s="571"/>
      <c r="D335" s="566"/>
      <c r="E335" s="566"/>
      <c r="F335" s="566"/>
      <c r="G335" s="554"/>
      <c r="H335" s="514"/>
      <c r="I335" s="523"/>
      <c r="J335" s="553" t="s">
        <v>25</v>
      </c>
      <c r="K335" s="568">
        <v>16.206</v>
      </c>
      <c r="L335" s="568">
        <v>16.364999999999998</v>
      </c>
      <c r="M335" s="569">
        <f>L335-K335</f>
        <v>0.15899999999999892</v>
      </c>
      <c r="N335" s="573" t="s">
        <v>18</v>
      </c>
      <c r="O335" s="574"/>
      <c r="P335" s="568">
        <f>Q333*P333</f>
        <v>67.41498707650733</v>
      </c>
      <c r="Q335" s="556" t="s">
        <v>163</v>
      </c>
      <c r="R335" s="572"/>
      <c r="S335" s="568"/>
      <c r="T335" s="569"/>
      <c r="U335" s="553"/>
      <c r="V335" s="554"/>
      <c r="W335" s="555"/>
      <c r="X335" s="492"/>
      <c r="Y335" s="492"/>
      <c r="Z335" s="492"/>
    </row>
    <row r="336" spans="1:26" ht="15.6" x14ac:dyDescent="0.3">
      <c r="A336" s="570"/>
      <c r="B336" s="566"/>
      <c r="C336" s="571"/>
      <c r="D336" s="566"/>
      <c r="E336" s="566"/>
      <c r="F336" s="566"/>
      <c r="G336" s="554"/>
      <c r="H336" s="514"/>
      <c r="I336" s="523"/>
      <c r="J336" s="553"/>
      <c r="K336" s="568"/>
      <c r="L336" s="568"/>
      <c r="M336" s="569"/>
      <c r="N336" s="553"/>
      <c r="O336" s="554"/>
      <c r="P336" s="568"/>
      <c r="Q336" s="556">
        <f>60*Q333/F332</f>
        <v>266.60912510936134</v>
      </c>
      <c r="R336" s="572"/>
      <c r="S336" s="568"/>
      <c r="T336" s="569"/>
      <c r="U336" s="553"/>
      <c r="V336" s="554"/>
      <c r="W336" s="555"/>
      <c r="X336" s="492"/>
      <c r="Y336" s="492"/>
      <c r="Z336" s="492"/>
    </row>
    <row r="337" spans="1:26" ht="15.6" x14ac:dyDescent="0.3">
      <c r="A337" s="532">
        <v>53</v>
      </c>
      <c r="B337" s="535" t="s">
        <v>104</v>
      </c>
      <c r="C337" s="564">
        <v>37707</v>
      </c>
      <c r="D337" s="535">
        <v>24.2</v>
      </c>
      <c r="E337" s="535">
        <v>225</v>
      </c>
      <c r="F337" s="535">
        <v>65.680000000000007</v>
      </c>
      <c r="G337" s="536" t="s">
        <v>64</v>
      </c>
      <c r="H337" s="533" t="s">
        <v>6</v>
      </c>
      <c r="I337" s="535" t="s">
        <v>5</v>
      </c>
      <c r="J337" s="533" t="s">
        <v>24</v>
      </c>
      <c r="K337" s="614" t="s">
        <v>224</v>
      </c>
      <c r="L337" s="614"/>
      <c r="M337" s="538">
        <f>AVERAGE(M338:M340)</f>
        <v>0.12733333333333383</v>
      </c>
      <c r="N337" s="533" t="s">
        <v>162</v>
      </c>
      <c r="O337" s="536" t="s">
        <v>169</v>
      </c>
      <c r="P337" s="540" t="s">
        <v>166</v>
      </c>
      <c r="Q337" s="541" t="s">
        <v>167</v>
      </c>
      <c r="R337" s="542">
        <f>60*SUM(M337:M340)/F337</f>
        <v>0.46528623629720028</v>
      </c>
      <c r="S337" s="537">
        <f>100*SUM(M337:M340)/P340</f>
        <v>0.83511282443104284</v>
      </c>
      <c r="T337" s="538">
        <f>1000*SUM(M337:M340)/P340</f>
        <v>8.3511282443104289</v>
      </c>
      <c r="U337" s="533"/>
      <c r="V337" s="536"/>
      <c r="W337" s="543"/>
      <c r="X337" s="492"/>
      <c r="Y337" s="492"/>
      <c r="Z337" s="492"/>
    </row>
    <row r="338" spans="1:26" ht="15.6" x14ac:dyDescent="0.3">
      <c r="A338" s="532"/>
      <c r="B338" s="535" t="s">
        <v>123</v>
      </c>
      <c r="C338" s="564"/>
      <c r="D338" s="535"/>
      <c r="E338" s="535"/>
      <c r="F338" s="535"/>
      <c r="G338" s="536" t="s">
        <v>65</v>
      </c>
      <c r="H338" s="533" t="s">
        <v>62</v>
      </c>
      <c r="I338" s="535" t="s">
        <v>127</v>
      </c>
      <c r="J338" s="533" t="s">
        <v>23</v>
      </c>
      <c r="K338" s="537">
        <v>16.777000000000001</v>
      </c>
      <c r="L338" s="537">
        <v>16.888999999999999</v>
      </c>
      <c r="M338" s="538">
        <f>L338-K338</f>
        <v>0.11199999999999832</v>
      </c>
      <c r="N338" s="533">
        <f>7+7/8-2*1.84</f>
        <v>4.1950000000000003</v>
      </c>
      <c r="O338" s="536">
        <f>23+4/12</f>
        <v>23.333333333333332</v>
      </c>
      <c r="P338" s="537">
        <v>0.19833469387755104</v>
      </c>
      <c r="Q338" s="541">
        <f>N338*3.14159*O338</f>
        <v>307.50930116666666</v>
      </c>
      <c r="R338" s="542"/>
      <c r="S338" s="537"/>
      <c r="T338" s="538"/>
      <c r="U338" s="533"/>
      <c r="V338" s="536"/>
      <c r="W338" s="543"/>
      <c r="X338" s="492"/>
      <c r="Y338" s="492"/>
      <c r="Z338" s="492"/>
    </row>
    <row r="339" spans="1:26" ht="15.6" x14ac:dyDescent="0.3">
      <c r="A339" s="532"/>
      <c r="B339" s="535" t="s">
        <v>186</v>
      </c>
      <c r="C339" s="564"/>
      <c r="D339" s="535"/>
      <c r="E339" s="535"/>
      <c r="F339" s="535"/>
      <c r="G339" s="536"/>
      <c r="H339" s="533" t="s">
        <v>63</v>
      </c>
      <c r="I339" s="535"/>
      <c r="J339" s="533" t="s">
        <v>26</v>
      </c>
      <c r="K339" s="537">
        <v>17.86</v>
      </c>
      <c r="L339" s="537">
        <v>17.995000000000001</v>
      </c>
      <c r="M339" s="538">
        <f>L339-K339</f>
        <v>0.13500000000000156</v>
      </c>
      <c r="N339" s="610"/>
      <c r="O339" s="536"/>
      <c r="P339" s="547"/>
      <c r="Q339" s="541"/>
      <c r="R339" s="542"/>
      <c r="S339" s="537"/>
      <c r="T339" s="538"/>
      <c r="U339" s="549"/>
      <c r="V339" s="550"/>
      <c r="W339" s="551"/>
      <c r="X339" s="492"/>
      <c r="Y339" s="492"/>
      <c r="Z339" s="492"/>
    </row>
    <row r="340" spans="1:26" ht="15.6" x14ac:dyDescent="0.3">
      <c r="A340" s="532"/>
      <c r="B340" s="535"/>
      <c r="C340" s="564"/>
      <c r="D340" s="535"/>
      <c r="E340" s="535"/>
      <c r="F340" s="535"/>
      <c r="G340" s="536"/>
      <c r="H340" s="533"/>
      <c r="I340" s="535"/>
      <c r="J340" s="533" t="s">
        <v>25</v>
      </c>
      <c r="K340" s="537">
        <v>17.154</v>
      </c>
      <c r="L340" s="537">
        <v>17.289000000000001</v>
      </c>
      <c r="M340" s="538">
        <f>L340-K340</f>
        <v>0.13500000000000156</v>
      </c>
      <c r="N340" s="549" t="s">
        <v>18</v>
      </c>
      <c r="O340" s="550"/>
      <c r="P340" s="537">
        <f>Q338*P338</f>
        <v>60.989763111390481</v>
      </c>
      <c r="Q340" s="541" t="s">
        <v>163</v>
      </c>
      <c r="R340" s="542"/>
      <c r="S340" s="537"/>
      <c r="T340" s="538"/>
      <c r="U340" s="533"/>
      <c r="V340" s="536"/>
      <c r="W340" s="543"/>
      <c r="X340" s="492"/>
      <c r="Y340" s="492"/>
      <c r="Z340" s="492"/>
    </row>
    <row r="341" spans="1:26" ht="15.6" x14ac:dyDescent="0.3">
      <c r="A341" s="532"/>
      <c r="B341" s="535"/>
      <c r="C341" s="564"/>
      <c r="D341" s="535"/>
      <c r="E341" s="535"/>
      <c r="F341" s="535"/>
      <c r="G341" s="536"/>
      <c r="H341" s="533"/>
      <c r="I341" s="535"/>
      <c r="J341" s="533"/>
      <c r="K341" s="537"/>
      <c r="L341" s="537"/>
      <c r="M341" s="538"/>
      <c r="N341" s="610"/>
      <c r="O341" s="536"/>
      <c r="P341" s="537"/>
      <c r="Q341" s="541">
        <f>60*Q338/F337</f>
        <v>280.9159267661388</v>
      </c>
      <c r="R341" s="542"/>
      <c r="S341" s="537"/>
      <c r="T341" s="538"/>
      <c r="U341" s="533"/>
      <c r="V341" s="536"/>
      <c r="W341" s="543"/>
      <c r="X341" s="492"/>
      <c r="Y341" s="492"/>
      <c r="Z341" s="492"/>
    </row>
    <row r="342" spans="1:26" ht="15.6" x14ac:dyDescent="0.3">
      <c r="A342" s="570">
        <v>54</v>
      </c>
      <c r="B342" s="566" t="s">
        <v>104</v>
      </c>
      <c r="C342" s="571">
        <v>37708</v>
      </c>
      <c r="D342" s="566">
        <v>21.1</v>
      </c>
      <c r="E342" s="566">
        <v>184</v>
      </c>
      <c r="F342" s="566">
        <v>93.6</v>
      </c>
      <c r="G342" s="554" t="s">
        <v>66</v>
      </c>
      <c r="H342" s="514" t="s">
        <v>61</v>
      </c>
      <c r="I342" s="523" t="s">
        <v>115</v>
      </c>
      <c r="J342" s="553" t="s">
        <v>24</v>
      </c>
      <c r="K342" s="568">
        <v>23.062000000000001</v>
      </c>
      <c r="L342" s="568">
        <v>23.219000000000001</v>
      </c>
      <c r="M342" s="569">
        <f>L342-K342</f>
        <v>0.15700000000000003</v>
      </c>
      <c r="N342" s="553" t="s">
        <v>162</v>
      </c>
      <c r="O342" s="554" t="s">
        <v>169</v>
      </c>
      <c r="P342" s="496" t="s">
        <v>166</v>
      </c>
      <c r="Q342" s="556" t="s">
        <v>167</v>
      </c>
      <c r="R342" s="572">
        <f>60*SUM(M342:M345)/F342</f>
        <v>0.38333333333333269</v>
      </c>
      <c r="S342" s="568">
        <f>100*SUM(M342:M345)/P345</f>
        <v>0.78192287554034023</v>
      </c>
      <c r="T342" s="569">
        <f>1000*SUM(M342:M345)/P345</f>
        <v>7.8192287554034028</v>
      </c>
      <c r="U342" s="553"/>
      <c r="V342" s="554"/>
      <c r="W342" s="555"/>
      <c r="X342" s="492"/>
      <c r="Y342" s="492"/>
      <c r="Z342" s="492"/>
    </row>
    <row r="343" spans="1:26" ht="15.6" x14ac:dyDescent="0.3">
      <c r="A343" s="570"/>
      <c r="B343" s="566" t="s">
        <v>123</v>
      </c>
      <c r="C343" s="571"/>
      <c r="D343" s="566"/>
      <c r="E343" s="566"/>
      <c r="F343" s="566"/>
      <c r="G343" s="554" t="s">
        <v>65</v>
      </c>
      <c r="H343" s="514">
        <v>304</v>
      </c>
      <c r="I343" s="523" t="s">
        <v>127</v>
      </c>
      <c r="J343" s="553" t="s">
        <v>23</v>
      </c>
      <c r="K343" s="568">
        <v>18.206</v>
      </c>
      <c r="L343" s="568">
        <v>18.347999999999999</v>
      </c>
      <c r="M343" s="569">
        <f>L343-K343</f>
        <v>0.14199999999999946</v>
      </c>
      <c r="N343" s="553">
        <f>11.75-2*(1+11/16)</f>
        <v>8.375</v>
      </c>
      <c r="O343" s="554">
        <f>13+2.5/12</f>
        <v>13.208333333333334</v>
      </c>
      <c r="P343" s="524">
        <v>0.22006700000000001</v>
      </c>
      <c r="Q343" s="556">
        <f>N343*3.14159*O343</f>
        <v>347.52203130208335</v>
      </c>
      <c r="R343" s="572"/>
      <c r="S343" s="568"/>
      <c r="T343" s="569"/>
      <c r="U343" s="553"/>
      <c r="V343" s="554"/>
      <c r="W343" s="555"/>
      <c r="X343" s="492"/>
      <c r="Y343" s="492"/>
      <c r="Z343" s="492"/>
    </row>
    <row r="344" spans="1:26" ht="15.6" x14ac:dyDescent="0.3">
      <c r="A344" s="570"/>
      <c r="B344" s="566" t="s">
        <v>185</v>
      </c>
      <c r="C344" s="571"/>
      <c r="D344" s="566"/>
      <c r="E344" s="566"/>
      <c r="F344" s="566"/>
      <c r="G344" s="554"/>
      <c r="H344" s="514"/>
      <c r="I344" s="523"/>
      <c r="J344" s="553" t="s">
        <v>26</v>
      </c>
      <c r="K344" s="568">
        <v>15.923999999999999</v>
      </c>
      <c r="L344" s="568">
        <v>16.065000000000001</v>
      </c>
      <c r="M344" s="569">
        <f>L344-K344</f>
        <v>0.14100000000000179</v>
      </c>
      <c r="N344" s="492"/>
      <c r="O344" s="492"/>
      <c r="P344" s="493"/>
      <c r="Q344" s="556"/>
      <c r="R344" s="572"/>
      <c r="S344" s="568"/>
      <c r="T344" s="569"/>
      <c r="U344" s="573"/>
      <c r="V344" s="574"/>
      <c r="W344" s="575"/>
      <c r="X344" s="492"/>
      <c r="Y344" s="492"/>
      <c r="Z344" s="492"/>
    </row>
    <row r="345" spans="1:26" ht="15.6" x14ac:dyDescent="0.3">
      <c r="A345" s="570"/>
      <c r="B345" s="566"/>
      <c r="C345" s="571"/>
      <c r="D345" s="566"/>
      <c r="E345" s="566"/>
      <c r="F345" s="566"/>
      <c r="G345" s="554"/>
      <c r="H345" s="514"/>
      <c r="I345" s="523"/>
      <c r="J345" s="553" t="s">
        <v>25</v>
      </c>
      <c r="K345" s="568">
        <v>19.885000000000002</v>
      </c>
      <c r="L345" s="568">
        <v>20.042999999999999</v>
      </c>
      <c r="M345" s="569">
        <f>L345-K345</f>
        <v>0.1579999999999977</v>
      </c>
      <c r="N345" s="573" t="s">
        <v>18</v>
      </c>
      <c r="O345" s="574"/>
      <c r="P345" s="568">
        <f>Q343*P343</f>
        <v>76.478130862555574</v>
      </c>
      <c r="Q345" s="556" t="s">
        <v>163</v>
      </c>
      <c r="R345" s="572"/>
      <c r="S345" s="568"/>
      <c r="T345" s="569"/>
      <c r="U345" s="553"/>
      <c r="V345" s="554"/>
      <c r="W345" s="555"/>
      <c r="X345" s="492"/>
      <c r="Y345" s="492"/>
      <c r="Z345" s="492"/>
    </row>
    <row r="346" spans="1:26" ht="15.6" x14ac:dyDescent="0.3">
      <c r="A346" s="570"/>
      <c r="B346" s="566"/>
      <c r="C346" s="571"/>
      <c r="D346" s="566"/>
      <c r="E346" s="566"/>
      <c r="F346" s="566"/>
      <c r="G346" s="554"/>
      <c r="H346" s="514"/>
      <c r="I346" s="523"/>
      <c r="J346" s="553"/>
      <c r="K346" s="568"/>
      <c r="L346" s="568"/>
      <c r="M346" s="569"/>
      <c r="N346" s="553"/>
      <c r="O346" s="554"/>
      <c r="P346" s="568"/>
      <c r="Q346" s="556">
        <f>60*Q343/F342</f>
        <v>222.77053288595087</v>
      </c>
      <c r="R346" s="572"/>
      <c r="S346" s="568"/>
      <c r="T346" s="569"/>
      <c r="U346" s="553"/>
      <c r="V346" s="554"/>
      <c r="W346" s="555"/>
      <c r="X346" s="492"/>
      <c r="Y346" s="492"/>
      <c r="Z346" s="492"/>
    </row>
    <row r="347" spans="1:26" ht="15.6" x14ac:dyDescent="0.3">
      <c r="A347" s="532">
        <v>55</v>
      </c>
      <c r="B347" s="535" t="s">
        <v>104</v>
      </c>
      <c r="C347" s="564">
        <v>37708</v>
      </c>
      <c r="D347" s="535">
        <v>20.8</v>
      </c>
      <c r="E347" s="539">
        <v>183</v>
      </c>
      <c r="F347" s="535">
        <v>78.45</v>
      </c>
      <c r="G347" s="535" t="s">
        <v>66</v>
      </c>
      <c r="H347" s="533" t="s">
        <v>61</v>
      </c>
      <c r="I347" s="535" t="s">
        <v>115</v>
      </c>
      <c r="J347" s="533" t="s">
        <v>24</v>
      </c>
      <c r="K347" s="537">
        <v>16.954000000000001</v>
      </c>
      <c r="L347" s="537">
        <v>17.065999999999999</v>
      </c>
      <c r="M347" s="552">
        <f>L347-K347</f>
        <v>0.11199999999999832</v>
      </c>
      <c r="N347" s="533" t="s">
        <v>162</v>
      </c>
      <c r="O347" s="536" t="s">
        <v>169</v>
      </c>
      <c r="P347" s="540" t="s">
        <v>166</v>
      </c>
      <c r="Q347" s="541" t="s">
        <v>167</v>
      </c>
      <c r="R347" s="542">
        <f>60*SUM(M347:M350)/F347</f>
        <v>0.35564053537284745</v>
      </c>
      <c r="S347" s="537">
        <f>100*SUM(M347:M350)/P350</f>
        <v>0.72459163042864416</v>
      </c>
      <c r="T347" s="538">
        <f>1000*SUM(M347:M350)/P350</f>
        <v>7.2459163042864416</v>
      </c>
      <c r="U347" s="533"/>
      <c r="V347" s="536"/>
      <c r="W347" s="543"/>
      <c r="X347" s="492"/>
      <c r="Y347" s="492"/>
      <c r="Z347" s="492"/>
    </row>
    <row r="348" spans="1:26" ht="15.6" x14ac:dyDescent="0.3">
      <c r="A348" s="532"/>
      <c r="B348" s="535" t="s">
        <v>123</v>
      </c>
      <c r="C348" s="564"/>
      <c r="D348" s="535"/>
      <c r="E348" s="539"/>
      <c r="F348" s="535"/>
      <c r="G348" s="535" t="s">
        <v>65</v>
      </c>
      <c r="H348" s="533">
        <v>304</v>
      </c>
      <c r="I348" s="535" t="s">
        <v>127</v>
      </c>
      <c r="J348" s="533" t="s">
        <v>23</v>
      </c>
      <c r="K348" s="537">
        <v>15.808</v>
      </c>
      <c r="L348" s="537">
        <v>15.907999999999999</v>
      </c>
      <c r="M348" s="538">
        <f>L348-K348</f>
        <v>9.9999999999999645E-2</v>
      </c>
      <c r="N348" s="533">
        <v>8.375</v>
      </c>
      <c r="O348" s="536">
        <f>11+1/12</f>
        <v>11.083333333333334</v>
      </c>
      <c r="P348" s="537">
        <v>0.22006700000000001</v>
      </c>
      <c r="Q348" s="541">
        <f>N348*3.14159*O348</f>
        <v>291.61154677083334</v>
      </c>
      <c r="R348" s="542"/>
      <c r="S348" s="537"/>
      <c r="T348" s="538"/>
      <c r="U348" s="533"/>
      <c r="V348" s="544"/>
      <c r="W348" s="543"/>
      <c r="X348" s="492"/>
      <c r="Y348" s="492"/>
      <c r="Z348" s="492"/>
    </row>
    <row r="349" spans="1:26" ht="15.6" x14ac:dyDescent="0.3">
      <c r="A349" s="532"/>
      <c r="B349" s="535" t="s">
        <v>185</v>
      </c>
      <c r="C349" s="564"/>
      <c r="D349" s="535"/>
      <c r="E349" s="539"/>
      <c r="F349" s="535"/>
      <c r="G349" s="535"/>
      <c r="H349" s="533"/>
      <c r="I349" s="535"/>
      <c r="J349" s="533" t="s">
        <v>26</v>
      </c>
      <c r="K349" s="537">
        <v>17.366</v>
      </c>
      <c r="L349" s="537">
        <v>17.518000000000001</v>
      </c>
      <c r="M349" s="538">
        <f>L349-K349</f>
        <v>0.15200000000000102</v>
      </c>
      <c r="N349" s="610"/>
      <c r="O349" s="536"/>
      <c r="P349" s="547"/>
      <c r="Q349" s="541"/>
      <c r="R349" s="542"/>
      <c r="S349" s="537"/>
      <c r="T349" s="538"/>
      <c r="U349" s="533"/>
      <c r="V349" s="544"/>
      <c r="W349" s="543"/>
      <c r="X349" s="492"/>
      <c r="Y349" s="492"/>
      <c r="Z349" s="492"/>
    </row>
    <row r="350" spans="1:26" ht="15.6" x14ac:dyDescent="0.3">
      <c r="A350" s="532"/>
      <c r="B350" s="535"/>
      <c r="C350" s="564"/>
      <c r="D350" s="535"/>
      <c r="E350" s="539"/>
      <c r="F350" s="535"/>
      <c r="G350" s="535"/>
      <c r="H350" s="533"/>
      <c r="I350" s="535"/>
      <c r="J350" s="533" t="s">
        <v>25</v>
      </c>
      <c r="K350" s="537">
        <v>15.48</v>
      </c>
      <c r="L350" s="537">
        <v>15.581</v>
      </c>
      <c r="M350" s="538">
        <f>L350-K350</f>
        <v>0.10099999999999909</v>
      </c>
      <c r="N350" s="549" t="s">
        <v>18</v>
      </c>
      <c r="O350" s="550"/>
      <c r="P350" s="537">
        <f>Q348*P348</f>
        <v>64.174078263216984</v>
      </c>
      <c r="Q350" s="541" t="s">
        <v>163</v>
      </c>
      <c r="R350" s="542"/>
      <c r="S350" s="537"/>
      <c r="T350" s="538"/>
      <c r="U350" s="562"/>
      <c r="V350" s="544"/>
      <c r="W350" s="543"/>
      <c r="X350" s="492"/>
      <c r="Y350" s="492"/>
      <c r="Z350" s="492"/>
    </row>
    <row r="351" spans="1:26" ht="15.6" x14ac:dyDescent="0.3">
      <c r="A351" s="532"/>
      <c r="B351" s="535"/>
      <c r="C351" s="564"/>
      <c r="D351" s="535"/>
      <c r="E351" s="539"/>
      <c r="F351" s="535"/>
      <c r="G351" s="535"/>
      <c r="H351" s="533"/>
      <c r="I351" s="535"/>
      <c r="J351" s="533"/>
      <c r="K351" s="537"/>
      <c r="L351" s="537"/>
      <c r="M351" s="538"/>
      <c r="N351" s="610"/>
      <c r="O351" s="536"/>
      <c r="P351" s="537"/>
      <c r="Q351" s="541">
        <f>60*Q348/F347</f>
        <v>223.02986368706183</v>
      </c>
      <c r="R351" s="542"/>
      <c r="S351" s="537"/>
      <c r="T351" s="538"/>
      <c r="U351" s="562"/>
      <c r="V351" s="544"/>
      <c r="W351" s="543"/>
      <c r="X351" s="492"/>
      <c r="Y351" s="492"/>
      <c r="Z351" s="492"/>
    </row>
    <row r="352" spans="1:26" ht="15.6" x14ac:dyDescent="0.3">
      <c r="A352" s="570">
        <v>56</v>
      </c>
      <c r="B352" s="566" t="s">
        <v>104</v>
      </c>
      <c r="C352" s="571">
        <v>37753</v>
      </c>
      <c r="D352" s="566">
        <v>25.7</v>
      </c>
      <c r="E352" s="490">
        <v>150</v>
      </c>
      <c r="F352" s="566">
        <v>66.260000000000005</v>
      </c>
      <c r="G352" s="513" t="s">
        <v>196</v>
      </c>
      <c r="H352" s="514" t="s">
        <v>61</v>
      </c>
      <c r="I352" s="523" t="s">
        <v>5</v>
      </c>
      <c r="J352" s="553" t="s">
        <v>24</v>
      </c>
      <c r="K352" s="568">
        <v>17.943999999999999</v>
      </c>
      <c r="L352" s="568">
        <v>18.009</v>
      </c>
      <c r="M352" s="569">
        <f>L352-K352</f>
        <v>6.5000000000001279E-2</v>
      </c>
      <c r="N352" s="553" t="s">
        <v>162</v>
      </c>
      <c r="O352" s="554" t="s">
        <v>169</v>
      </c>
      <c r="P352" s="496" t="s">
        <v>166</v>
      </c>
      <c r="Q352" s="556" t="s">
        <v>167</v>
      </c>
      <c r="R352" s="572">
        <f>60*SUM(M352:M355)/F352</f>
        <v>0.2236643525505615</v>
      </c>
      <c r="S352" s="568">
        <f>100*SUM(M352:M355)/P355</f>
        <v>0.48684349531890952</v>
      </c>
      <c r="T352" s="569">
        <f>1000*SUM(M352:M355)/P355</f>
        <v>4.8684349531890954</v>
      </c>
      <c r="U352" s="553"/>
      <c r="V352" s="554"/>
      <c r="W352" s="555"/>
      <c r="X352" s="492"/>
      <c r="Y352" s="492"/>
      <c r="Z352" s="492"/>
    </row>
    <row r="353" spans="1:26" ht="15.6" x14ac:dyDescent="0.3">
      <c r="A353" s="570"/>
      <c r="B353" s="566" t="s">
        <v>198</v>
      </c>
      <c r="C353" s="571"/>
      <c r="D353" s="566"/>
      <c r="E353" s="490"/>
      <c r="F353" s="566"/>
      <c r="G353" s="513" t="s">
        <v>65</v>
      </c>
      <c r="H353" s="514">
        <v>304</v>
      </c>
      <c r="I353" s="523" t="s">
        <v>236</v>
      </c>
      <c r="J353" s="553" t="s">
        <v>23</v>
      </c>
      <c r="K353" s="568">
        <v>16.491</v>
      </c>
      <c r="L353" s="568">
        <v>16.541</v>
      </c>
      <c r="M353" s="569">
        <f>L353-K353</f>
        <v>5.0000000000000711E-2</v>
      </c>
      <c r="N353" s="553">
        <f>8-2*0.4/2.54</f>
        <v>7.6850393700787398</v>
      </c>
      <c r="O353" s="554">
        <f>12+2/12</f>
        <v>12.166666666666666</v>
      </c>
      <c r="P353" s="568">
        <v>0.17271910112359601</v>
      </c>
      <c r="Q353" s="556">
        <f>N353*3.14159*O353</f>
        <v>293.74278782152231</v>
      </c>
      <c r="R353" s="572"/>
      <c r="S353" s="568"/>
      <c r="T353" s="569"/>
      <c r="U353" s="600"/>
      <c r="V353" s="557"/>
      <c r="W353" s="555"/>
      <c r="X353" s="492"/>
      <c r="Y353" s="492"/>
      <c r="Z353" s="492"/>
    </row>
    <row r="354" spans="1:26" ht="15.6" x14ac:dyDescent="0.3">
      <c r="A354" s="570"/>
      <c r="B354" s="566" t="s">
        <v>185</v>
      </c>
      <c r="C354" s="571"/>
      <c r="D354" s="566"/>
      <c r="E354" s="566"/>
      <c r="F354" s="566"/>
      <c r="G354" s="554"/>
      <c r="H354" s="514"/>
      <c r="I354" s="523"/>
      <c r="J354" s="553" t="s">
        <v>26</v>
      </c>
      <c r="K354" s="568">
        <v>19.035</v>
      </c>
      <c r="L354" s="568">
        <v>19.100000000000001</v>
      </c>
      <c r="M354" s="569">
        <f>L354-K354</f>
        <v>6.5000000000001279E-2</v>
      </c>
      <c r="N354" s="492"/>
      <c r="O354" s="492"/>
      <c r="P354" s="493"/>
      <c r="Q354" s="556"/>
      <c r="R354" s="572"/>
      <c r="S354" s="568"/>
      <c r="T354" s="569"/>
      <c r="U354" s="600"/>
      <c r="V354" s="557"/>
      <c r="W354" s="555"/>
      <c r="X354" s="492"/>
      <c r="Y354" s="492"/>
      <c r="Z354" s="492"/>
    </row>
    <row r="355" spans="1:26" ht="15.6" x14ac:dyDescent="0.3">
      <c r="A355" s="570"/>
      <c r="B355" s="566"/>
      <c r="C355" s="571"/>
      <c r="D355" s="566"/>
      <c r="E355" s="566"/>
      <c r="F355" s="566"/>
      <c r="G355" s="554"/>
      <c r="H355" s="514"/>
      <c r="I355" s="523"/>
      <c r="J355" s="553" t="s">
        <v>25</v>
      </c>
      <c r="K355" s="568">
        <v>19.382999999999999</v>
      </c>
      <c r="L355" s="568">
        <v>19.45</v>
      </c>
      <c r="M355" s="569">
        <f>L355-K355</f>
        <v>6.7000000000000171E-2</v>
      </c>
      <c r="N355" s="573" t="s">
        <v>18</v>
      </c>
      <c r="O355" s="574"/>
      <c r="P355" s="568">
        <f>Q353*P353</f>
        <v>50.734990274072516</v>
      </c>
      <c r="Q355" s="556" t="s">
        <v>163</v>
      </c>
      <c r="R355" s="572"/>
      <c r="S355" s="568"/>
      <c r="T355" s="569"/>
      <c r="U355" s="600"/>
      <c r="V355" s="557"/>
      <c r="W355" s="555"/>
      <c r="X355" s="492"/>
      <c r="Y355" s="492"/>
      <c r="Z355" s="492"/>
    </row>
    <row r="356" spans="1:26" ht="15.6" x14ac:dyDescent="0.3">
      <c r="A356" s="570"/>
      <c r="B356" s="566"/>
      <c r="C356" s="571"/>
      <c r="D356" s="566"/>
      <c r="E356" s="566"/>
      <c r="F356" s="566"/>
      <c r="G356" s="554"/>
      <c r="H356" s="514"/>
      <c r="I356" s="523"/>
      <c r="J356" s="553"/>
      <c r="K356" s="568"/>
      <c r="L356" s="568"/>
      <c r="M356" s="569"/>
      <c r="N356" s="553"/>
      <c r="O356" s="554"/>
      <c r="P356" s="568"/>
      <c r="Q356" s="556">
        <f>60*Q353/F352</f>
        <v>265.99105447164715</v>
      </c>
      <c r="R356" s="572"/>
      <c r="S356" s="568"/>
      <c r="T356" s="569"/>
      <c r="U356" s="600"/>
      <c r="V356" s="557"/>
      <c r="W356" s="555"/>
      <c r="X356" s="492"/>
      <c r="Y356" s="492"/>
      <c r="Z356" s="492"/>
    </row>
    <row r="357" spans="1:26" ht="15.6" x14ac:dyDescent="0.3">
      <c r="A357" s="532">
        <v>57</v>
      </c>
      <c r="B357" s="535" t="s">
        <v>104</v>
      </c>
      <c r="C357" s="564">
        <v>37760</v>
      </c>
      <c r="D357" s="535">
        <v>25.5</v>
      </c>
      <c r="E357" s="535">
        <v>155</v>
      </c>
      <c r="F357" s="535">
        <v>76.06</v>
      </c>
      <c r="G357" s="536" t="s">
        <v>196</v>
      </c>
      <c r="H357" s="533" t="s">
        <v>61</v>
      </c>
      <c r="I357" s="535" t="s">
        <v>5</v>
      </c>
      <c r="J357" s="533" t="s">
        <v>24</v>
      </c>
      <c r="K357" s="537">
        <v>19.747</v>
      </c>
      <c r="L357" s="537">
        <v>19.835000000000001</v>
      </c>
      <c r="M357" s="552">
        <f>L357-K357</f>
        <v>8.8000000000000966E-2</v>
      </c>
      <c r="N357" s="533" t="s">
        <v>162</v>
      </c>
      <c r="O357" s="536" t="s">
        <v>169</v>
      </c>
      <c r="P357" s="540" t="s">
        <v>166</v>
      </c>
      <c r="Q357" s="541" t="s">
        <v>167</v>
      </c>
      <c r="R357" s="542">
        <f>60*SUM(M357:M360)/F357</f>
        <v>0.26505390481198937</v>
      </c>
      <c r="S357" s="537">
        <f>100*SUM(M357:M360)/P360</f>
        <v>0.56710068045553053</v>
      </c>
      <c r="T357" s="538">
        <f>1000*SUM(M357:M360)/P360</f>
        <v>5.6710068045553053</v>
      </c>
      <c r="U357" s="533"/>
      <c r="V357" s="536"/>
      <c r="W357" s="543"/>
      <c r="X357" s="492"/>
      <c r="Y357" s="492"/>
      <c r="Z357" s="492"/>
    </row>
    <row r="358" spans="1:26" ht="15.6" x14ac:dyDescent="0.3">
      <c r="A358" s="532"/>
      <c r="B358" s="535" t="s">
        <v>198</v>
      </c>
      <c r="C358" s="564"/>
      <c r="D358" s="535"/>
      <c r="E358" s="535"/>
      <c r="F358" s="535"/>
      <c r="G358" s="536" t="s">
        <v>65</v>
      </c>
      <c r="H358" s="533">
        <v>304</v>
      </c>
      <c r="I358" s="535" t="s">
        <v>237</v>
      </c>
      <c r="J358" s="533" t="s">
        <v>23</v>
      </c>
      <c r="K358" s="537">
        <v>19.356000000000002</v>
      </c>
      <c r="L358" s="537">
        <v>19.437000000000001</v>
      </c>
      <c r="M358" s="538">
        <f>L358-K358</f>
        <v>8.0999999999999517E-2</v>
      </c>
      <c r="N358" s="533">
        <f>8-2*0.4/2.54</f>
        <v>7.6850393700787398</v>
      </c>
      <c r="O358" s="536">
        <f>14+2.5/12</f>
        <v>14.208333333333334</v>
      </c>
      <c r="P358" s="537">
        <v>0.17271910112359601</v>
      </c>
      <c r="Q358" s="541">
        <f>N358*3.14159*O358</f>
        <v>343.03524194225724</v>
      </c>
      <c r="R358" s="542"/>
      <c r="S358" s="537"/>
      <c r="T358" s="538"/>
      <c r="U358" s="562"/>
      <c r="V358" s="544"/>
      <c r="W358" s="543"/>
      <c r="X358" s="492"/>
      <c r="Y358" s="492"/>
      <c r="Z358" s="492"/>
    </row>
    <row r="359" spans="1:26" ht="15.6" x14ac:dyDescent="0.3">
      <c r="A359" s="532"/>
      <c r="B359" s="535" t="s">
        <v>185</v>
      </c>
      <c r="C359" s="564"/>
      <c r="D359" s="535"/>
      <c r="E359" s="535"/>
      <c r="F359" s="535"/>
      <c r="G359" s="536"/>
      <c r="H359" s="533"/>
      <c r="I359" s="535"/>
      <c r="J359" s="533" t="s">
        <v>26</v>
      </c>
      <c r="K359" s="537">
        <v>19.524999999999999</v>
      </c>
      <c r="L359" s="537">
        <v>19.603999999999999</v>
      </c>
      <c r="M359" s="538">
        <f>L359-K359</f>
        <v>7.9000000000000625E-2</v>
      </c>
      <c r="N359" s="610"/>
      <c r="O359" s="536"/>
      <c r="P359" s="547"/>
      <c r="Q359" s="541"/>
      <c r="R359" s="542"/>
      <c r="S359" s="537"/>
      <c r="T359" s="538"/>
      <c r="U359" s="549"/>
      <c r="V359" s="550"/>
      <c r="W359" s="551"/>
      <c r="X359" s="492"/>
      <c r="Y359" s="492"/>
      <c r="Z359" s="492"/>
    </row>
    <row r="360" spans="1:26" ht="15.6" x14ac:dyDescent="0.3">
      <c r="A360" s="532"/>
      <c r="B360" s="535"/>
      <c r="C360" s="564"/>
      <c r="D360" s="535"/>
      <c r="E360" s="535"/>
      <c r="F360" s="535"/>
      <c r="G360" s="536"/>
      <c r="H360" s="533"/>
      <c r="I360" s="535"/>
      <c r="J360" s="533" t="s">
        <v>25</v>
      </c>
      <c r="K360" s="537">
        <v>19.821000000000002</v>
      </c>
      <c r="L360" s="537">
        <v>19.908999999999999</v>
      </c>
      <c r="M360" s="538">
        <f>L360-K360</f>
        <v>8.7999999999997414E-2</v>
      </c>
      <c r="N360" s="549" t="s">
        <v>18</v>
      </c>
      <c r="O360" s="550"/>
      <c r="P360" s="537">
        <f>Q358*P358</f>
        <v>59.248738641981952</v>
      </c>
      <c r="Q360" s="541" t="s">
        <v>163</v>
      </c>
      <c r="R360" s="542"/>
      <c r="S360" s="537"/>
      <c r="T360" s="538"/>
      <c r="U360" s="562"/>
      <c r="V360" s="544"/>
      <c r="W360" s="543"/>
      <c r="X360" s="492"/>
      <c r="Y360" s="492"/>
      <c r="Z360" s="492"/>
    </row>
    <row r="361" spans="1:26" ht="15.6" x14ac:dyDescent="0.3">
      <c r="A361" s="532"/>
      <c r="B361" s="535"/>
      <c r="C361" s="564"/>
      <c r="D361" s="535"/>
      <c r="E361" s="535"/>
      <c r="F361" s="535"/>
      <c r="G361" s="536"/>
      <c r="H361" s="533"/>
      <c r="I361" s="535"/>
      <c r="J361" s="533"/>
      <c r="K361" s="537"/>
      <c r="L361" s="537"/>
      <c r="M361" s="538"/>
      <c r="N361" s="610"/>
      <c r="O361" s="536"/>
      <c r="P361" s="537"/>
      <c r="Q361" s="541">
        <f>60*Q358/F357</f>
        <v>270.60366180036073</v>
      </c>
      <c r="R361" s="542"/>
      <c r="S361" s="537"/>
      <c r="T361" s="538"/>
      <c r="U361" s="562"/>
      <c r="V361" s="544"/>
      <c r="W361" s="543"/>
      <c r="X361" s="492"/>
      <c r="Y361" s="492"/>
      <c r="Z361" s="492"/>
    </row>
    <row r="362" spans="1:26" ht="15.6" x14ac:dyDescent="0.3">
      <c r="A362" s="570">
        <v>58</v>
      </c>
      <c r="B362" s="566" t="s">
        <v>104</v>
      </c>
      <c r="C362" s="571">
        <v>37764</v>
      </c>
      <c r="D362" s="566">
        <v>25.5</v>
      </c>
      <c r="E362" s="566">
        <v>155</v>
      </c>
      <c r="F362" s="566">
        <v>81.25</v>
      </c>
      <c r="G362" s="513" t="s">
        <v>196</v>
      </c>
      <c r="H362" s="523" t="s">
        <v>61</v>
      </c>
      <c r="I362" s="523" t="s">
        <v>5</v>
      </c>
      <c r="J362" s="553" t="s">
        <v>24</v>
      </c>
      <c r="K362" s="568">
        <v>20.312000000000001</v>
      </c>
      <c r="L362" s="568">
        <v>20.454000000000001</v>
      </c>
      <c r="M362" s="569">
        <f>L362-K362</f>
        <v>0.14199999999999946</v>
      </c>
      <c r="N362" s="553" t="s">
        <v>162</v>
      </c>
      <c r="O362" s="554" t="s">
        <v>169</v>
      </c>
      <c r="P362" s="496" t="s">
        <v>166</v>
      </c>
      <c r="Q362" s="556" t="s">
        <v>167</v>
      </c>
      <c r="R362" s="572">
        <f>60*SUM(M362:M365)/F362</f>
        <v>0.38399999999999967</v>
      </c>
      <c r="S362" s="568">
        <f>100*SUM(M362:M365)/P365</f>
        <v>0.82446455347611713</v>
      </c>
      <c r="T362" s="554">
        <f>1000*SUM(M362:M365)/P365</f>
        <v>8.2446455347611707</v>
      </c>
      <c r="U362" s="553"/>
      <c r="V362" s="554"/>
      <c r="W362" s="555"/>
      <c r="X362" s="492"/>
      <c r="Y362" s="492"/>
      <c r="Z362" s="492"/>
    </row>
    <row r="363" spans="1:26" ht="15.6" x14ac:dyDescent="0.3">
      <c r="A363" s="570"/>
      <c r="B363" s="566" t="s">
        <v>198</v>
      </c>
      <c r="C363" s="571"/>
      <c r="D363" s="566"/>
      <c r="E363" s="566"/>
      <c r="F363" s="566"/>
      <c r="G363" s="513" t="s">
        <v>65</v>
      </c>
      <c r="H363" s="523">
        <v>304</v>
      </c>
      <c r="I363" s="523" t="s">
        <v>238</v>
      </c>
      <c r="J363" s="553" t="s">
        <v>23</v>
      </c>
      <c r="K363" s="568">
        <v>19.785</v>
      </c>
      <c r="L363" s="568">
        <v>19.920000000000002</v>
      </c>
      <c r="M363" s="569">
        <f>L363-K363</f>
        <v>0.13500000000000156</v>
      </c>
      <c r="N363" s="553">
        <f>8-2*0.4/2.54</f>
        <v>7.6850393700787398</v>
      </c>
      <c r="O363" s="554">
        <f>15+1.5/12</f>
        <v>15.125</v>
      </c>
      <c r="P363" s="568">
        <v>0.17271910112359601</v>
      </c>
      <c r="Q363" s="556">
        <f>N363*3.14159*O363</f>
        <v>365.16654787401575</v>
      </c>
      <c r="R363" s="572"/>
      <c r="S363" s="568"/>
      <c r="T363" s="554"/>
      <c r="U363" s="600"/>
      <c r="V363" s="557"/>
      <c r="W363" s="555"/>
      <c r="X363" s="492"/>
      <c r="Y363" s="492"/>
      <c r="Z363" s="492"/>
    </row>
    <row r="364" spans="1:26" ht="15.6" x14ac:dyDescent="0.3">
      <c r="A364" s="570"/>
      <c r="B364" s="566" t="s">
        <v>185</v>
      </c>
      <c r="C364" s="571"/>
      <c r="D364" s="566"/>
      <c r="E364" s="566"/>
      <c r="F364" s="566"/>
      <c r="G364" s="554"/>
      <c r="H364" s="523"/>
      <c r="I364" s="523"/>
      <c r="J364" s="553" t="s">
        <v>26</v>
      </c>
      <c r="K364" s="568">
        <v>20.262</v>
      </c>
      <c r="L364" s="568">
        <v>20.382999999999999</v>
      </c>
      <c r="M364" s="569">
        <f>L364-K364</f>
        <v>0.12099999999999866</v>
      </c>
      <c r="N364" s="492"/>
      <c r="O364" s="492"/>
      <c r="P364" s="493"/>
      <c r="Q364" s="556"/>
      <c r="R364" s="572"/>
      <c r="S364" s="568"/>
      <c r="T364" s="554"/>
      <c r="U364" s="573"/>
      <c r="V364" s="574"/>
      <c r="W364" s="575"/>
      <c r="X364" s="492"/>
      <c r="Y364" s="492"/>
      <c r="Z364" s="492"/>
    </row>
    <row r="365" spans="1:26" ht="15.6" x14ac:dyDescent="0.3">
      <c r="A365" s="565"/>
      <c r="B365" s="554"/>
      <c r="C365" s="601"/>
      <c r="D365" s="566"/>
      <c r="E365" s="554"/>
      <c r="F365" s="566"/>
      <c r="G365" s="554"/>
      <c r="H365" s="514"/>
      <c r="I365" s="523"/>
      <c r="J365" s="553" t="s">
        <v>25</v>
      </c>
      <c r="K365" s="568">
        <v>19.535</v>
      </c>
      <c r="L365" s="568">
        <v>19.657</v>
      </c>
      <c r="M365" s="554">
        <f>L365-K365</f>
        <v>0.12199999999999989</v>
      </c>
      <c r="N365" s="573" t="s">
        <v>18</v>
      </c>
      <c r="O365" s="574"/>
      <c r="P365" s="568">
        <f>Q363*P363</f>
        <v>63.071237909206587</v>
      </c>
      <c r="Q365" s="556" t="s">
        <v>163</v>
      </c>
      <c r="R365" s="572"/>
      <c r="S365" s="568"/>
      <c r="T365" s="554"/>
      <c r="U365" s="600"/>
      <c r="V365" s="557"/>
      <c r="W365" s="555"/>
      <c r="X365" s="492"/>
      <c r="Y365" s="492"/>
      <c r="Z365" s="492"/>
    </row>
    <row r="366" spans="1:26" ht="15.6" x14ac:dyDescent="0.3">
      <c r="A366" s="565"/>
      <c r="B366" s="554"/>
      <c r="C366" s="601"/>
      <c r="D366" s="566"/>
      <c r="E366" s="554"/>
      <c r="F366" s="566"/>
      <c r="G366" s="554"/>
      <c r="H366" s="514"/>
      <c r="I366" s="523"/>
      <c r="J366" s="553"/>
      <c r="K366" s="568"/>
      <c r="L366" s="568"/>
      <c r="M366" s="554"/>
      <c r="N366" s="553"/>
      <c r="O366" s="554"/>
      <c r="P366" s="568"/>
      <c r="Q366" s="556">
        <f>60*Q363/F362</f>
        <v>269.6614507377347</v>
      </c>
      <c r="R366" s="572"/>
      <c r="S366" s="568"/>
      <c r="T366" s="554"/>
      <c r="U366" s="600"/>
      <c r="V366" s="557"/>
      <c r="W366" s="555"/>
      <c r="X366" s="492"/>
      <c r="Y366" s="492"/>
      <c r="Z366" s="492"/>
    </row>
    <row r="367" spans="1:26" ht="15.6" x14ac:dyDescent="0.3">
      <c r="A367" s="602">
        <v>59</v>
      </c>
      <c r="B367" s="536" t="s">
        <v>104</v>
      </c>
      <c r="C367" s="534">
        <v>37771</v>
      </c>
      <c r="D367" s="535">
        <v>23.4</v>
      </c>
      <c r="E367" s="536">
        <v>131</v>
      </c>
      <c r="F367" s="535">
        <v>81.38</v>
      </c>
      <c r="G367" s="536" t="s">
        <v>66</v>
      </c>
      <c r="H367" s="533" t="s">
        <v>61</v>
      </c>
      <c r="I367" s="535" t="s">
        <v>240</v>
      </c>
      <c r="J367" s="533" t="s">
        <v>24</v>
      </c>
      <c r="K367" s="537">
        <v>19.917999999999999</v>
      </c>
      <c r="L367" s="537">
        <v>19.986999999999998</v>
      </c>
      <c r="M367" s="536">
        <f>L367-K367</f>
        <v>6.8999999999999062E-2</v>
      </c>
      <c r="N367" s="533" t="s">
        <v>162</v>
      </c>
      <c r="O367" s="536" t="s">
        <v>169</v>
      </c>
      <c r="P367" s="540" t="s">
        <v>166</v>
      </c>
      <c r="Q367" s="541" t="s">
        <v>167</v>
      </c>
      <c r="R367" s="542">
        <f>60*SUM(M367:M370)/F367</f>
        <v>0.19021872695994038</v>
      </c>
      <c r="S367" s="537">
        <f>100*SUM(M367:M370)/P370</f>
        <v>0.43784217686542287</v>
      </c>
      <c r="T367" s="538">
        <f>1000*SUM(M367:M370)/P370</f>
        <v>4.3784217686542277</v>
      </c>
      <c r="U367" s="533"/>
      <c r="V367" s="536"/>
      <c r="W367" s="543"/>
      <c r="X367" s="492"/>
      <c r="Y367" s="492"/>
      <c r="Z367" s="492"/>
    </row>
    <row r="368" spans="1:26" ht="15.6" x14ac:dyDescent="0.3">
      <c r="A368" s="602"/>
      <c r="B368" s="536" t="s">
        <v>239</v>
      </c>
      <c r="C368" s="534"/>
      <c r="D368" s="535"/>
      <c r="E368" s="536"/>
      <c r="F368" s="535"/>
      <c r="G368" s="536" t="s">
        <v>67</v>
      </c>
      <c r="H368" s="533">
        <v>304</v>
      </c>
      <c r="I368" s="535" t="s">
        <v>127</v>
      </c>
      <c r="J368" s="533" t="s">
        <v>23</v>
      </c>
      <c r="K368" s="537">
        <v>19.696999999999999</v>
      </c>
      <c r="L368" s="537">
        <v>19.760000000000002</v>
      </c>
      <c r="M368" s="536">
        <f>L368-K368</f>
        <v>6.3000000000002387E-2</v>
      </c>
      <c r="N368" s="533">
        <f>7+29/32-2*1.2</f>
        <v>5.5062499999999996</v>
      </c>
      <c r="O368" s="536">
        <f>27+4.5/12</f>
        <v>27.375</v>
      </c>
      <c r="P368" s="537">
        <v>0.124435</v>
      </c>
      <c r="Q368" s="541">
        <f>N368*3.14159*O368</f>
        <v>473.54315078906245</v>
      </c>
      <c r="R368" s="542"/>
      <c r="S368" s="537"/>
      <c r="T368" s="538"/>
      <c r="U368" s="562"/>
      <c r="V368" s="544"/>
      <c r="W368" s="543"/>
      <c r="X368" s="492"/>
      <c r="Y368" s="492"/>
      <c r="Z368" s="492"/>
    </row>
    <row r="369" spans="1:26" ht="15.6" x14ac:dyDescent="0.3">
      <c r="A369" s="602"/>
      <c r="B369" s="536" t="s">
        <v>185</v>
      </c>
      <c r="C369" s="534"/>
      <c r="D369" s="535"/>
      <c r="E369" s="536"/>
      <c r="F369" s="535"/>
      <c r="G369" s="536"/>
      <c r="H369" s="533"/>
      <c r="I369" s="535"/>
      <c r="J369" s="533" t="s">
        <v>26</v>
      </c>
      <c r="K369" s="537">
        <v>19.853000000000002</v>
      </c>
      <c r="L369" s="537">
        <v>19.917999999999999</v>
      </c>
      <c r="M369" s="536">
        <f>L369-K369</f>
        <v>6.4999999999997726E-2</v>
      </c>
      <c r="N369" s="610"/>
      <c r="O369" s="536"/>
      <c r="P369" s="547"/>
      <c r="Q369" s="541"/>
      <c r="R369" s="542"/>
      <c r="S369" s="537"/>
      <c r="T369" s="538"/>
      <c r="U369" s="549"/>
      <c r="V369" s="550"/>
      <c r="W369" s="551"/>
      <c r="X369" s="492"/>
      <c r="Y369" s="492"/>
      <c r="Z369" s="492"/>
    </row>
    <row r="370" spans="1:26" ht="15.6" x14ac:dyDescent="0.3">
      <c r="A370" s="602"/>
      <c r="B370" s="536"/>
      <c r="C370" s="534"/>
      <c r="D370" s="535"/>
      <c r="E370" s="536"/>
      <c r="F370" s="535"/>
      <c r="G370" s="536"/>
      <c r="H370" s="533"/>
      <c r="I370" s="535"/>
      <c r="J370" s="533" t="s">
        <v>25</v>
      </c>
      <c r="K370" s="537">
        <v>20.834</v>
      </c>
      <c r="L370" s="537">
        <v>20.895</v>
      </c>
      <c r="M370" s="536">
        <f>L370-K370</f>
        <v>6.0999999999999943E-2</v>
      </c>
      <c r="N370" s="549" t="s">
        <v>18</v>
      </c>
      <c r="O370" s="550"/>
      <c r="P370" s="537">
        <f>Q368*P368</f>
        <v>58.925341968436989</v>
      </c>
      <c r="Q370" s="541" t="s">
        <v>163</v>
      </c>
      <c r="R370" s="542"/>
      <c r="S370" s="537"/>
      <c r="T370" s="538"/>
      <c r="U370" s="562"/>
      <c r="V370" s="544"/>
      <c r="W370" s="543"/>
      <c r="X370" s="492"/>
      <c r="Y370" s="492"/>
      <c r="Z370" s="492"/>
    </row>
    <row r="371" spans="1:26" ht="15.6" x14ac:dyDescent="0.3">
      <c r="A371" s="602"/>
      <c r="B371" s="536"/>
      <c r="C371" s="534"/>
      <c r="D371" s="535"/>
      <c r="E371" s="536"/>
      <c r="F371" s="535"/>
      <c r="G371" s="536"/>
      <c r="H371" s="533"/>
      <c r="I371" s="535"/>
      <c r="J371" s="533"/>
      <c r="K371" s="537"/>
      <c r="L371" s="537"/>
      <c r="M371" s="536"/>
      <c r="N371" s="610"/>
      <c r="O371" s="536"/>
      <c r="P371" s="537"/>
      <c r="Q371" s="541">
        <f>60*Q368/F367</f>
        <v>349.13478799881727</v>
      </c>
      <c r="R371" s="542"/>
      <c r="S371" s="537"/>
      <c r="T371" s="538"/>
      <c r="U371" s="562"/>
      <c r="V371" s="544"/>
      <c r="W371" s="543"/>
      <c r="X371" s="492"/>
      <c r="Y371" s="492"/>
      <c r="Z371" s="492"/>
    </row>
    <row r="372" spans="1:26" ht="15.6" x14ac:dyDescent="0.3">
      <c r="A372" s="565">
        <v>60</v>
      </c>
      <c r="B372" s="554" t="s">
        <v>104</v>
      </c>
      <c r="C372" s="601">
        <v>37771</v>
      </c>
      <c r="D372" s="566">
        <v>23.5</v>
      </c>
      <c r="E372" s="554">
        <v>128</v>
      </c>
      <c r="F372" s="566">
        <v>80</v>
      </c>
      <c r="G372" s="513" t="s">
        <v>66</v>
      </c>
      <c r="H372" s="514" t="s">
        <v>61</v>
      </c>
      <c r="I372" s="523" t="s">
        <v>240</v>
      </c>
      <c r="J372" s="553" t="s">
        <v>24</v>
      </c>
      <c r="K372" s="568">
        <v>18.614999999999998</v>
      </c>
      <c r="L372" s="568">
        <v>18.672000000000001</v>
      </c>
      <c r="M372" s="554">
        <f>L372-K372</f>
        <v>5.700000000000216E-2</v>
      </c>
      <c r="N372" s="553" t="s">
        <v>162</v>
      </c>
      <c r="O372" s="554" t="s">
        <v>169</v>
      </c>
      <c r="P372" s="496" t="s">
        <v>166</v>
      </c>
      <c r="Q372" s="556" t="s">
        <v>167</v>
      </c>
      <c r="R372" s="572">
        <f>60*SUM(M372:M375)/F372</f>
        <v>0.17925000000000324</v>
      </c>
      <c r="S372" s="568">
        <f>100*SUM(M372:M375)/P375</f>
        <v>0.40808250613115837</v>
      </c>
      <c r="T372" s="569">
        <f>1000*SUM(M372:M375)/P375</f>
        <v>4.0808250613115833</v>
      </c>
      <c r="U372" s="553"/>
      <c r="V372" s="554"/>
      <c r="W372" s="555"/>
      <c r="X372" s="492"/>
      <c r="Y372" s="492"/>
      <c r="Z372" s="492"/>
    </row>
    <row r="373" spans="1:26" ht="15.6" x14ac:dyDescent="0.3">
      <c r="A373" s="565"/>
      <c r="B373" s="554" t="s">
        <v>239</v>
      </c>
      <c r="C373" s="601"/>
      <c r="D373" s="566"/>
      <c r="E373" s="554"/>
      <c r="F373" s="566"/>
      <c r="G373" s="513" t="s">
        <v>67</v>
      </c>
      <c r="H373" s="514">
        <v>304</v>
      </c>
      <c r="I373" s="523" t="s">
        <v>127</v>
      </c>
      <c r="J373" s="553" t="s">
        <v>23</v>
      </c>
      <c r="K373" s="568">
        <v>18.812999999999999</v>
      </c>
      <c r="L373" s="568">
        <v>18.867999999999999</v>
      </c>
      <c r="M373" s="554">
        <f>L373-K373</f>
        <v>5.4999999999999716E-2</v>
      </c>
      <c r="N373" s="553">
        <f>7+29/32-2*1.2</f>
        <v>5.5062499999999996</v>
      </c>
      <c r="O373" s="554">
        <f>27+2.5/12</f>
        <v>27.208333333333332</v>
      </c>
      <c r="P373" s="568">
        <v>0.124435</v>
      </c>
      <c r="Q373" s="556">
        <f>N373*3.14159*O373</f>
        <v>470.66008746614574</v>
      </c>
      <c r="R373" s="572"/>
      <c r="S373" s="568"/>
      <c r="T373" s="554"/>
      <c r="U373" s="600"/>
      <c r="V373" s="557"/>
      <c r="W373" s="555"/>
      <c r="X373" s="492"/>
      <c r="Y373" s="492"/>
      <c r="Z373" s="492"/>
    </row>
    <row r="374" spans="1:26" ht="15.6" x14ac:dyDescent="0.3">
      <c r="A374" s="565"/>
      <c r="B374" s="554" t="s">
        <v>185</v>
      </c>
      <c r="C374" s="601"/>
      <c r="D374" s="566"/>
      <c r="E374" s="554"/>
      <c r="F374" s="566"/>
      <c r="G374" s="554"/>
      <c r="H374" s="514"/>
      <c r="I374" s="523"/>
      <c r="J374" s="553" t="s">
        <v>26</v>
      </c>
      <c r="K374" s="568">
        <v>20.486999999999998</v>
      </c>
      <c r="L374" s="568">
        <v>20.553000000000001</v>
      </c>
      <c r="M374" s="554">
        <f>L374-K374</f>
        <v>6.6000000000002501E-2</v>
      </c>
      <c r="N374" s="611"/>
      <c r="O374" s="554"/>
      <c r="P374" s="568"/>
      <c r="Q374" s="556"/>
      <c r="R374" s="572"/>
      <c r="S374" s="568"/>
      <c r="T374" s="569"/>
      <c r="U374" s="600"/>
      <c r="V374" s="557"/>
      <c r="W374" s="555"/>
      <c r="X374" s="492"/>
      <c r="Y374" s="492"/>
      <c r="Z374" s="492"/>
    </row>
    <row r="375" spans="1:26" ht="15.6" x14ac:dyDescent="0.3">
      <c r="A375" s="565"/>
      <c r="B375" s="566"/>
      <c r="C375" s="567"/>
      <c r="D375" s="566"/>
      <c r="E375" s="554"/>
      <c r="F375" s="566"/>
      <c r="G375" s="554"/>
      <c r="H375" s="523"/>
      <c r="I375" s="513"/>
      <c r="J375" s="553" t="s">
        <v>25</v>
      </c>
      <c r="K375" s="568">
        <v>18.873000000000001</v>
      </c>
      <c r="L375" s="568">
        <v>18.934000000000001</v>
      </c>
      <c r="M375" s="554">
        <f>L375-K375</f>
        <v>6.0999999999999943E-2</v>
      </c>
      <c r="N375" s="573" t="s">
        <v>18</v>
      </c>
      <c r="O375" s="574"/>
      <c r="P375" s="568">
        <f>Q373*P373</f>
        <v>58.56658798384985</v>
      </c>
      <c r="Q375" s="556" t="s">
        <v>163</v>
      </c>
      <c r="R375" s="572"/>
      <c r="S375" s="568"/>
      <c r="T375" s="554"/>
      <c r="U375" s="600"/>
      <c r="V375" s="557"/>
      <c r="W375" s="555"/>
      <c r="X375" s="492"/>
      <c r="Y375" s="492"/>
      <c r="Z375" s="492"/>
    </row>
    <row r="376" spans="1:26" ht="16.2" thickBot="1" x14ac:dyDescent="0.35">
      <c r="A376" s="603"/>
      <c r="B376" s="578"/>
      <c r="C376" s="612"/>
      <c r="D376" s="578"/>
      <c r="E376" s="589"/>
      <c r="F376" s="578"/>
      <c r="G376" s="589"/>
      <c r="H376" s="605"/>
      <c r="I376" s="580"/>
      <c r="J376" s="582"/>
      <c r="K376" s="583"/>
      <c r="L376" s="583"/>
      <c r="M376" s="589"/>
      <c r="N376" s="582"/>
      <c r="O376" s="589"/>
      <c r="P376" s="583"/>
      <c r="Q376" s="586">
        <f>60*Q373/F372</f>
        <v>352.99506559960935</v>
      </c>
      <c r="R376" s="587"/>
      <c r="S376" s="583"/>
      <c r="T376" s="589"/>
      <c r="U376" s="608"/>
      <c r="V376" s="609"/>
      <c r="W376" s="590"/>
      <c r="X376" s="492"/>
      <c r="Y376" s="492"/>
      <c r="Z376" s="492"/>
    </row>
    <row r="377" spans="1:26" ht="15.6" x14ac:dyDescent="0.3">
      <c r="A377" s="490"/>
      <c r="B377" s="490"/>
      <c r="C377" s="495"/>
      <c r="D377" s="490"/>
      <c r="E377" s="490"/>
      <c r="F377" s="490"/>
      <c r="G377" s="490"/>
      <c r="H377" s="490"/>
      <c r="I377" s="490"/>
      <c r="J377" s="490"/>
      <c r="K377" s="496"/>
      <c r="L377" s="496"/>
      <c r="M377" s="591"/>
      <c r="N377" s="490"/>
      <c r="O377" s="490"/>
      <c r="P377" s="496"/>
      <c r="Q377" s="497"/>
      <c r="R377" s="496"/>
      <c r="S377" s="496"/>
      <c r="T377" s="490"/>
      <c r="U377" s="492"/>
      <c r="V377" s="492"/>
      <c r="W377" s="492"/>
      <c r="X377" s="492"/>
      <c r="Y377" s="492"/>
      <c r="Z377" s="492"/>
    </row>
    <row r="378" spans="1:26" ht="15.6" x14ac:dyDescent="0.3">
      <c r="A378" s="596"/>
      <c r="B378" s="490"/>
      <c r="C378" s="495"/>
      <c r="D378" s="490"/>
      <c r="E378" s="490"/>
      <c r="F378" s="490"/>
      <c r="G378" s="490"/>
      <c r="H378" s="490"/>
      <c r="I378" s="490"/>
      <c r="J378" s="490"/>
      <c r="K378" s="496"/>
      <c r="L378" s="496"/>
      <c r="M378" s="591"/>
      <c r="N378" s="490"/>
      <c r="O378" s="490"/>
      <c r="P378" s="496"/>
      <c r="Q378" s="497"/>
      <c r="R378" s="496"/>
      <c r="S378" s="496"/>
      <c r="T378" s="490"/>
      <c r="U378" s="492"/>
      <c r="V378" s="492"/>
      <c r="W378" s="492"/>
      <c r="X378" s="492"/>
      <c r="Y378" s="492"/>
      <c r="Z378" s="492"/>
    </row>
    <row r="379" spans="1:26" ht="15.6" x14ac:dyDescent="0.3">
      <c r="A379" s="596"/>
      <c r="B379" s="490"/>
      <c r="C379" s="495"/>
      <c r="D379" s="490"/>
      <c r="E379" s="490"/>
      <c r="F379" s="490"/>
      <c r="G379" s="490"/>
      <c r="H379" s="490"/>
      <c r="I379" s="490"/>
      <c r="J379" s="490"/>
      <c r="K379" s="496"/>
      <c r="L379" s="496"/>
      <c r="M379" s="591"/>
      <c r="N379" s="490"/>
      <c r="O379" s="490"/>
      <c r="P379" s="496"/>
      <c r="Q379" s="497"/>
      <c r="R379" s="496"/>
      <c r="S379" s="496"/>
      <c r="T379" s="490"/>
      <c r="U379" s="492"/>
      <c r="V379" s="492"/>
      <c r="W379" s="492"/>
      <c r="X379" s="492"/>
      <c r="Y379" s="492"/>
      <c r="Z379" s="492"/>
    </row>
    <row r="380" spans="1:26" ht="15.6" x14ac:dyDescent="0.3">
      <c r="A380" s="596"/>
      <c r="B380" s="490"/>
      <c r="C380" s="495"/>
      <c r="D380" s="490"/>
      <c r="E380" s="490"/>
      <c r="F380" s="490"/>
      <c r="G380" s="490"/>
      <c r="H380" s="490"/>
      <c r="I380" s="490"/>
      <c r="J380" s="490"/>
      <c r="K380" s="496"/>
      <c r="L380" s="496"/>
      <c r="M380" s="591"/>
      <c r="N380" s="490"/>
      <c r="O380" s="490"/>
      <c r="P380" s="496"/>
      <c r="Q380" s="497"/>
      <c r="R380" s="496"/>
      <c r="S380" s="496"/>
      <c r="T380" s="490"/>
      <c r="U380" s="492"/>
      <c r="V380" s="492"/>
      <c r="W380" s="492"/>
      <c r="X380" s="492"/>
      <c r="Y380" s="492"/>
      <c r="Z380" s="492"/>
    </row>
    <row r="381" spans="1:26" ht="15.6" x14ac:dyDescent="0.3">
      <c r="A381" s="596"/>
      <c r="B381" s="490"/>
      <c r="C381" s="495"/>
      <c r="D381" s="490"/>
      <c r="E381" s="490"/>
      <c r="F381" s="490"/>
      <c r="G381" s="490"/>
      <c r="H381" s="490"/>
      <c r="I381" s="490"/>
      <c r="J381" s="490"/>
      <c r="K381" s="496"/>
      <c r="L381" s="496"/>
      <c r="M381" s="490"/>
      <c r="N381" s="490"/>
      <c r="O381" s="490"/>
      <c r="P381" s="496"/>
      <c r="Q381" s="497"/>
      <c r="R381" s="496"/>
      <c r="S381" s="496"/>
      <c r="T381" s="490"/>
      <c r="U381" s="492"/>
      <c r="V381" s="492"/>
      <c r="W381" s="492"/>
      <c r="X381" s="492"/>
      <c r="Y381" s="492"/>
      <c r="Z381" s="492"/>
    </row>
    <row r="382" spans="1:26" ht="15.6" x14ac:dyDescent="0.3">
      <c r="A382" s="490"/>
      <c r="B382" s="490"/>
      <c r="C382" s="495"/>
      <c r="D382" s="490"/>
      <c r="E382" s="490"/>
      <c r="F382" s="490"/>
      <c r="G382" s="490"/>
      <c r="H382" s="490"/>
      <c r="I382" s="490"/>
      <c r="J382" s="490"/>
      <c r="K382" s="496"/>
      <c r="L382" s="496"/>
      <c r="M382" s="490"/>
      <c r="N382" s="490"/>
      <c r="O382" s="490"/>
      <c r="P382" s="496"/>
      <c r="Q382" s="497"/>
      <c r="R382" s="496"/>
      <c r="S382" s="496"/>
      <c r="T382" s="490"/>
      <c r="U382" s="492"/>
      <c r="V382" s="492"/>
      <c r="W382" s="492"/>
      <c r="X382" s="492"/>
      <c r="Y382" s="492"/>
      <c r="Z382" s="492"/>
    </row>
    <row r="383" spans="1:26" ht="15.6" x14ac:dyDescent="0.3">
      <c r="A383" s="492"/>
      <c r="B383" s="490"/>
      <c r="C383" s="491"/>
      <c r="D383" s="492"/>
      <c r="E383" s="490"/>
      <c r="F383" s="492"/>
      <c r="G383" s="490"/>
      <c r="H383" s="490"/>
      <c r="I383" s="490"/>
      <c r="J383" s="492"/>
      <c r="K383" s="493"/>
      <c r="L383" s="493"/>
      <c r="M383" s="492"/>
      <c r="N383" s="492"/>
      <c r="O383" s="492"/>
      <c r="P383" s="493"/>
      <c r="Q383" s="494"/>
      <c r="R383" s="493"/>
      <c r="S383" s="493"/>
      <c r="T383" s="492"/>
      <c r="U383" s="492"/>
      <c r="V383" s="492"/>
      <c r="W383" s="492"/>
      <c r="X383" s="492"/>
      <c r="Y383" s="492"/>
      <c r="Z383" s="492"/>
    </row>
    <row r="384" spans="1:26" ht="15.6" x14ac:dyDescent="0.3">
      <c r="A384" s="489" t="s">
        <v>334</v>
      </c>
      <c r="B384" s="591"/>
      <c r="C384" s="592"/>
      <c r="D384" s="591"/>
      <c r="E384" s="591"/>
      <c r="F384" s="591"/>
      <c r="G384" s="591"/>
      <c r="H384" s="490"/>
      <c r="I384" s="490"/>
      <c r="J384" s="591"/>
      <c r="K384" s="593"/>
      <c r="L384" s="593"/>
      <c r="M384" s="591"/>
      <c r="N384" s="591"/>
      <c r="O384" s="591"/>
      <c r="P384" s="593"/>
      <c r="Q384" s="594"/>
      <c r="R384" s="593"/>
      <c r="S384" s="593"/>
      <c r="T384" s="591"/>
      <c r="U384" s="492"/>
      <c r="V384" s="492"/>
      <c r="W384" s="492"/>
      <c r="X384" s="492"/>
      <c r="Y384" s="492"/>
      <c r="Z384" s="492"/>
    </row>
    <row r="385" spans="1:26" ht="15.6" x14ac:dyDescent="0.3">
      <c r="A385" s="490"/>
      <c r="B385" s="591"/>
      <c r="C385" s="592"/>
      <c r="D385" s="591"/>
      <c r="E385" s="591"/>
      <c r="F385" s="591"/>
      <c r="G385" s="591"/>
      <c r="H385" s="490"/>
      <c r="I385" s="490"/>
      <c r="J385" s="591"/>
      <c r="K385" s="593"/>
      <c r="L385" s="593"/>
      <c r="M385" s="591"/>
      <c r="N385" s="591"/>
      <c r="O385" s="591"/>
      <c r="P385" s="593"/>
      <c r="Q385" s="594"/>
      <c r="R385" s="593"/>
      <c r="S385" s="593"/>
      <c r="T385" s="591"/>
      <c r="U385" s="492"/>
      <c r="V385" s="492"/>
      <c r="W385" s="492"/>
      <c r="X385" s="492"/>
      <c r="Y385" s="492"/>
      <c r="Z385" s="492"/>
    </row>
    <row r="386" spans="1:26" ht="16.2" thickBot="1" x14ac:dyDescent="0.35">
      <c r="A386" s="490"/>
      <c r="B386" s="591"/>
      <c r="C386" s="592"/>
      <c r="D386" s="591"/>
      <c r="E386" s="591"/>
      <c r="F386" s="591"/>
      <c r="G386" s="591"/>
      <c r="H386" s="490"/>
      <c r="I386" s="490"/>
      <c r="J386" s="591"/>
      <c r="K386" s="593"/>
      <c r="L386" s="593"/>
      <c r="M386" s="591"/>
      <c r="N386" s="591"/>
      <c r="O386" s="591"/>
      <c r="P386" s="593"/>
      <c r="Q386" s="594"/>
      <c r="R386" s="593"/>
      <c r="S386" s="593"/>
      <c r="T386" s="591"/>
      <c r="U386" s="492"/>
      <c r="V386" s="492"/>
      <c r="W386" s="492"/>
      <c r="X386" s="492"/>
      <c r="Y386" s="492"/>
      <c r="Z386" s="492"/>
    </row>
    <row r="387" spans="1:26" ht="15.6" x14ac:dyDescent="0.3">
      <c r="A387" s="498" t="s">
        <v>21</v>
      </c>
      <c r="B387" s="501" t="s">
        <v>16</v>
      </c>
      <c r="C387" s="597" t="s">
        <v>7</v>
      </c>
      <c r="D387" s="501" t="s">
        <v>58</v>
      </c>
      <c r="E387" s="501" t="s">
        <v>59</v>
      </c>
      <c r="F387" s="501" t="s">
        <v>60</v>
      </c>
      <c r="G387" s="502" t="s">
        <v>14</v>
      </c>
      <c r="H387" s="499" t="s">
        <v>3</v>
      </c>
      <c r="I387" s="501" t="s">
        <v>82</v>
      </c>
      <c r="J387" s="503" t="s">
        <v>13</v>
      </c>
      <c r="K387" s="504"/>
      <c r="L387" s="504"/>
      <c r="M387" s="505"/>
      <c r="N387" s="503" t="s">
        <v>168</v>
      </c>
      <c r="O387" s="504"/>
      <c r="P387" s="504"/>
      <c r="Q387" s="505"/>
      <c r="R387" s="503" t="s">
        <v>30</v>
      </c>
      <c r="S387" s="504"/>
      <c r="T387" s="505"/>
      <c r="U387" s="506" t="s">
        <v>31</v>
      </c>
      <c r="V387" s="507"/>
      <c r="W387" s="508"/>
      <c r="X387" s="492"/>
      <c r="Y387" s="492"/>
      <c r="Z387" s="492"/>
    </row>
    <row r="388" spans="1:26" ht="15.6" x14ac:dyDescent="0.3">
      <c r="A388" s="509"/>
      <c r="B388" s="512"/>
      <c r="C388" s="598"/>
      <c r="D388" s="512"/>
      <c r="E388" s="512"/>
      <c r="F388" s="512"/>
      <c r="G388" s="517"/>
      <c r="H388" s="514"/>
      <c r="I388" s="523"/>
      <c r="J388" s="510"/>
      <c r="K388" s="515" t="s">
        <v>10</v>
      </c>
      <c r="L388" s="515" t="s">
        <v>11</v>
      </c>
      <c r="M388" s="516" t="s">
        <v>12</v>
      </c>
      <c r="N388" s="510"/>
      <c r="O388" s="517"/>
      <c r="P388" s="515"/>
      <c r="Q388" s="518"/>
      <c r="R388" s="519" t="s">
        <v>9</v>
      </c>
      <c r="S388" s="515" t="s">
        <v>15</v>
      </c>
      <c r="T388" s="516" t="s">
        <v>20</v>
      </c>
      <c r="U388" s="519" t="s">
        <v>9</v>
      </c>
      <c r="V388" s="515" t="s">
        <v>15</v>
      </c>
      <c r="W388" s="520" t="s">
        <v>20</v>
      </c>
      <c r="X388" s="492"/>
      <c r="Y388" s="492"/>
      <c r="Z388" s="492"/>
    </row>
    <row r="389" spans="1:26" ht="15.6" x14ac:dyDescent="0.3">
      <c r="A389" s="521"/>
      <c r="B389" s="514"/>
      <c r="C389" s="522"/>
      <c r="D389" s="514" t="s">
        <v>74</v>
      </c>
      <c r="E389" s="514" t="s">
        <v>75</v>
      </c>
      <c r="F389" s="523" t="s">
        <v>76</v>
      </c>
      <c r="G389" s="523"/>
      <c r="H389" s="513"/>
      <c r="I389" s="523"/>
      <c r="J389" s="514"/>
      <c r="K389" s="524" t="s">
        <v>4</v>
      </c>
      <c r="L389" s="524" t="s">
        <v>4</v>
      </c>
      <c r="M389" s="513" t="s">
        <v>4</v>
      </c>
      <c r="N389" s="514"/>
      <c r="O389" s="513"/>
      <c r="P389" s="513"/>
      <c r="Q389" s="525"/>
      <c r="R389" s="526"/>
      <c r="S389" s="524"/>
      <c r="T389" s="527"/>
      <c r="U389" s="526"/>
      <c r="V389" s="524"/>
      <c r="W389" s="528"/>
      <c r="X389" s="492"/>
      <c r="Y389" s="492"/>
      <c r="Z389" s="492"/>
    </row>
    <row r="390" spans="1:26" ht="15.6" x14ac:dyDescent="0.3">
      <c r="A390" s="521"/>
      <c r="B390" s="566"/>
      <c r="C390" s="571"/>
      <c r="D390" s="566"/>
      <c r="E390" s="566"/>
      <c r="F390" s="566"/>
      <c r="G390" s="554"/>
      <c r="H390" s="514"/>
      <c r="I390" s="523"/>
      <c r="J390" s="553"/>
      <c r="K390" s="568"/>
      <c r="L390" s="568"/>
      <c r="M390" s="569"/>
      <c r="N390" s="553"/>
      <c r="O390" s="554"/>
      <c r="P390" s="568"/>
      <c r="Q390" s="556"/>
      <c r="R390" s="572" t="s">
        <v>1</v>
      </c>
      <c r="S390" s="568"/>
      <c r="T390" s="569"/>
      <c r="U390" s="563"/>
      <c r="V390" s="530"/>
      <c r="W390" s="531"/>
      <c r="X390" s="492"/>
      <c r="Y390" s="492"/>
      <c r="Z390" s="492"/>
    </row>
    <row r="391" spans="1:26" ht="15.6" x14ac:dyDescent="0.3">
      <c r="A391" s="532">
        <v>61</v>
      </c>
      <c r="B391" s="535" t="s">
        <v>104</v>
      </c>
      <c r="C391" s="564">
        <v>37771</v>
      </c>
      <c r="D391" s="535">
        <v>24.7</v>
      </c>
      <c r="E391" s="535">
        <v>175</v>
      </c>
      <c r="F391" s="535">
        <v>67.84</v>
      </c>
      <c r="G391" s="536" t="s">
        <v>241</v>
      </c>
      <c r="H391" s="533" t="s">
        <v>61</v>
      </c>
      <c r="I391" s="535" t="s">
        <v>240</v>
      </c>
      <c r="J391" s="533" t="s">
        <v>24</v>
      </c>
      <c r="K391" s="537">
        <v>18.533000000000001</v>
      </c>
      <c r="L391" s="537">
        <v>18.59</v>
      </c>
      <c r="M391" s="538">
        <f>L391-K391</f>
        <v>5.6999999999998607E-2</v>
      </c>
      <c r="N391" s="533" t="s">
        <v>162</v>
      </c>
      <c r="O391" s="536" t="s">
        <v>169</v>
      </c>
      <c r="P391" s="540" t="s">
        <v>166</v>
      </c>
      <c r="Q391" s="541" t="s">
        <v>167</v>
      </c>
      <c r="R391" s="542">
        <f>60*SUM(M391:M394)/F391</f>
        <v>0.20430424528301402</v>
      </c>
      <c r="S391" s="537">
        <f>100*SUM(M391:M394)/P394</f>
        <v>0.40665396952037636</v>
      </c>
      <c r="T391" s="538">
        <f>1000*SUM(M391:M394)/P394</f>
        <v>4.0665396952037636</v>
      </c>
      <c r="U391" s="533"/>
      <c r="V391" s="536"/>
      <c r="W391" s="543"/>
      <c r="X391" s="492"/>
      <c r="Y391" s="492"/>
      <c r="Z391" s="492"/>
    </row>
    <row r="392" spans="1:26" ht="15.6" x14ac:dyDescent="0.3">
      <c r="A392" s="532"/>
      <c r="B392" s="535" t="s">
        <v>239</v>
      </c>
      <c r="C392" s="564"/>
      <c r="D392" s="535"/>
      <c r="E392" s="535"/>
      <c r="F392" s="535"/>
      <c r="G392" s="536" t="s">
        <v>65</v>
      </c>
      <c r="H392" s="533">
        <v>304</v>
      </c>
      <c r="I392" s="535" t="s">
        <v>127</v>
      </c>
      <c r="J392" s="533" t="s">
        <v>23</v>
      </c>
      <c r="K392" s="537">
        <v>18.841000000000001</v>
      </c>
      <c r="L392" s="537">
        <v>18.898</v>
      </c>
      <c r="M392" s="538">
        <f>L392-K392</f>
        <v>5.6999999999998607E-2</v>
      </c>
      <c r="N392" s="533">
        <v>8.375</v>
      </c>
      <c r="O392" s="536">
        <f>10+7.5/12</f>
        <v>10.625</v>
      </c>
      <c r="P392" s="537">
        <v>0.20319999999999999</v>
      </c>
      <c r="Q392" s="541">
        <f>N392*3.14159*O392</f>
        <v>279.55242265624997</v>
      </c>
      <c r="R392" s="542"/>
      <c r="S392" s="537"/>
      <c r="T392" s="538"/>
      <c r="U392" s="533"/>
      <c r="V392" s="536"/>
      <c r="W392" s="543"/>
      <c r="X392" s="492"/>
      <c r="Y392" s="492"/>
      <c r="Z392" s="492"/>
    </row>
    <row r="393" spans="1:26" ht="15.6" x14ac:dyDescent="0.3">
      <c r="A393" s="532"/>
      <c r="B393" s="535" t="s">
        <v>185</v>
      </c>
      <c r="C393" s="564"/>
      <c r="D393" s="535"/>
      <c r="E393" s="535"/>
      <c r="F393" s="535"/>
      <c r="G393" s="536"/>
      <c r="H393" s="533"/>
      <c r="I393" s="535"/>
      <c r="J393" s="533" t="s">
        <v>26</v>
      </c>
      <c r="K393" s="537">
        <v>18.32</v>
      </c>
      <c r="L393" s="537">
        <v>18.38</v>
      </c>
      <c r="M393" s="538">
        <f>L393-K393</f>
        <v>5.9999999999998721E-2</v>
      </c>
      <c r="N393" s="610"/>
      <c r="O393" s="536"/>
      <c r="P393" s="547"/>
      <c r="Q393" s="541"/>
      <c r="R393" s="542"/>
      <c r="S393" s="537"/>
      <c r="T393" s="538"/>
      <c r="U393" s="549"/>
      <c r="V393" s="550"/>
      <c r="W393" s="551"/>
      <c r="X393" s="492"/>
      <c r="Y393" s="492"/>
      <c r="Z393" s="492"/>
    </row>
    <row r="394" spans="1:26" ht="15.6" x14ac:dyDescent="0.3">
      <c r="A394" s="532"/>
      <c r="B394" s="535"/>
      <c r="C394" s="564"/>
      <c r="D394" s="535"/>
      <c r="E394" s="535"/>
      <c r="F394" s="535"/>
      <c r="G394" s="536"/>
      <c r="H394" s="533"/>
      <c r="I394" s="535"/>
      <c r="J394" s="533" t="s">
        <v>25</v>
      </c>
      <c r="K394" s="537">
        <v>18.643000000000001</v>
      </c>
      <c r="L394" s="537">
        <v>18.7</v>
      </c>
      <c r="M394" s="538">
        <f>L394-K394</f>
        <v>5.6999999999998607E-2</v>
      </c>
      <c r="N394" s="549" t="s">
        <v>18</v>
      </c>
      <c r="O394" s="550"/>
      <c r="P394" s="537">
        <f>Q392*P392</f>
        <v>56.805052283749994</v>
      </c>
      <c r="Q394" s="541" t="s">
        <v>163</v>
      </c>
      <c r="R394" s="542"/>
      <c r="S394" s="537"/>
      <c r="T394" s="538"/>
      <c r="U394" s="533"/>
      <c r="V394" s="536"/>
      <c r="W394" s="543"/>
      <c r="X394" s="492"/>
      <c r="Y394" s="492"/>
      <c r="Z394" s="492"/>
    </row>
    <row r="395" spans="1:26" ht="15.6" x14ac:dyDescent="0.3">
      <c r="A395" s="532"/>
      <c r="B395" s="535"/>
      <c r="C395" s="564"/>
      <c r="D395" s="535"/>
      <c r="E395" s="535"/>
      <c r="F395" s="535"/>
      <c r="G395" s="536"/>
      <c r="H395" s="533"/>
      <c r="I395" s="535"/>
      <c r="J395" s="533"/>
      <c r="K395" s="537"/>
      <c r="L395" s="537"/>
      <c r="M395" s="538"/>
      <c r="N395" s="610"/>
      <c r="O395" s="536"/>
      <c r="P395" s="537"/>
      <c r="Q395" s="541">
        <f>60*Q392/F391</f>
        <v>247.24565683040973</v>
      </c>
      <c r="R395" s="542"/>
      <c r="S395" s="537"/>
      <c r="T395" s="538"/>
      <c r="U395" s="533"/>
      <c r="V395" s="536"/>
      <c r="W395" s="543"/>
      <c r="X395" s="492"/>
      <c r="Y395" s="492"/>
      <c r="Z395" s="492"/>
    </row>
    <row r="396" spans="1:26" ht="15.6" x14ac:dyDescent="0.3">
      <c r="A396" s="570">
        <v>62</v>
      </c>
      <c r="B396" s="566" t="s">
        <v>104</v>
      </c>
      <c r="C396" s="571">
        <v>37771</v>
      </c>
      <c r="D396" s="566">
        <v>24.8</v>
      </c>
      <c r="E396" s="566">
        <v>175</v>
      </c>
      <c r="F396" s="566">
        <v>67.56</v>
      </c>
      <c r="G396" s="513" t="s">
        <v>241</v>
      </c>
      <c r="H396" s="514" t="s">
        <v>61</v>
      </c>
      <c r="I396" s="523" t="s">
        <v>240</v>
      </c>
      <c r="J396" s="553" t="s">
        <v>24</v>
      </c>
      <c r="K396" s="568">
        <v>18.265000000000001</v>
      </c>
      <c r="L396" s="568">
        <v>18.366</v>
      </c>
      <c r="M396" s="569">
        <f>L396-K396</f>
        <v>0.10099999999999909</v>
      </c>
      <c r="N396" s="553" t="s">
        <v>162</v>
      </c>
      <c r="O396" s="554" t="s">
        <v>169</v>
      </c>
      <c r="P396" s="496" t="s">
        <v>166</v>
      </c>
      <c r="Q396" s="556" t="s">
        <v>167</v>
      </c>
      <c r="R396" s="572">
        <f>60*SUM(M396:M399)/F396</f>
        <v>0.39076376554173547</v>
      </c>
      <c r="S396" s="568">
        <f>100*SUM(M396:M399)/P399</f>
        <v>0.77762851314358483</v>
      </c>
      <c r="T396" s="569">
        <f>1000*SUM(M396:M399)/P399</f>
        <v>7.7762851314358494</v>
      </c>
      <c r="U396" s="553"/>
      <c r="V396" s="554"/>
      <c r="W396" s="555"/>
      <c r="X396" s="492"/>
      <c r="Y396" s="492"/>
      <c r="Z396" s="492"/>
    </row>
    <row r="397" spans="1:26" ht="15.6" x14ac:dyDescent="0.3">
      <c r="A397" s="570"/>
      <c r="B397" s="566" t="s">
        <v>239</v>
      </c>
      <c r="C397" s="571"/>
      <c r="D397" s="566"/>
      <c r="E397" s="566"/>
      <c r="F397" s="566"/>
      <c r="G397" s="513" t="s">
        <v>65</v>
      </c>
      <c r="H397" s="514">
        <v>304</v>
      </c>
      <c r="I397" s="523" t="s">
        <v>127</v>
      </c>
      <c r="J397" s="553" t="s">
        <v>23</v>
      </c>
      <c r="K397" s="568">
        <v>19.861000000000001</v>
      </c>
      <c r="L397" s="568">
        <v>19.966999999999999</v>
      </c>
      <c r="M397" s="569">
        <f>L397-K397</f>
        <v>0.1059999999999981</v>
      </c>
      <c r="N397" s="553">
        <v>8.375</v>
      </c>
      <c r="O397" s="554">
        <f>10+7/12</f>
        <v>10.583333333333334</v>
      </c>
      <c r="P397" s="568">
        <v>0.20319999999999999</v>
      </c>
      <c r="Q397" s="556">
        <f>N397*3.14159*O397</f>
        <v>278.45613864583333</v>
      </c>
      <c r="R397" s="572"/>
      <c r="S397" s="568"/>
      <c r="T397" s="569"/>
      <c r="U397" s="553"/>
      <c r="V397" s="554"/>
      <c r="W397" s="555"/>
      <c r="X397" s="492"/>
      <c r="Y397" s="492"/>
      <c r="Z397" s="492"/>
    </row>
    <row r="398" spans="1:26" ht="15.6" x14ac:dyDescent="0.3">
      <c r="A398" s="570"/>
      <c r="B398" s="566" t="s">
        <v>185</v>
      </c>
      <c r="C398" s="571"/>
      <c r="D398" s="566"/>
      <c r="E398" s="566"/>
      <c r="F398" s="566"/>
      <c r="G398" s="554"/>
      <c r="H398" s="514"/>
      <c r="I398" s="523"/>
      <c r="J398" s="553" t="s">
        <v>26</v>
      </c>
      <c r="K398" s="568">
        <v>19.654</v>
      </c>
      <c r="L398" s="568">
        <v>19.747</v>
      </c>
      <c r="M398" s="569">
        <f>L398-K398</f>
        <v>9.2999999999999972E-2</v>
      </c>
      <c r="N398" s="492"/>
      <c r="O398" s="492"/>
      <c r="P398" s="493"/>
      <c r="Q398" s="556"/>
      <c r="R398" s="572"/>
      <c r="S398" s="568"/>
      <c r="T398" s="569"/>
      <c r="U398" s="573"/>
      <c r="V398" s="574"/>
      <c r="W398" s="575"/>
      <c r="X398" s="492"/>
      <c r="Y398" s="492"/>
      <c r="Z398" s="492"/>
    </row>
    <row r="399" spans="1:26" ht="15.6" x14ac:dyDescent="0.3">
      <c r="A399" s="570"/>
      <c r="B399" s="566"/>
      <c r="C399" s="571"/>
      <c r="D399" s="566"/>
      <c r="E399" s="566"/>
      <c r="F399" s="566"/>
      <c r="G399" s="554"/>
      <c r="H399" s="514"/>
      <c r="I399" s="523"/>
      <c r="J399" s="553" t="s">
        <v>25</v>
      </c>
      <c r="K399" s="568">
        <v>18.533000000000001</v>
      </c>
      <c r="L399" s="568">
        <v>18.672999999999998</v>
      </c>
      <c r="M399" s="569">
        <f>L399-K399</f>
        <v>0.13999999999999702</v>
      </c>
      <c r="N399" s="573" t="s">
        <v>18</v>
      </c>
      <c r="O399" s="574"/>
      <c r="P399" s="568">
        <f>Q397*P397</f>
        <v>56.582287372833328</v>
      </c>
      <c r="Q399" s="556" t="s">
        <v>163</v>
      </c>
      <c r="R399" s="572"/>
      <c r="S399" s="568"/>
      <c r="T399" s="569"/>
      <c r="U399" s="553"/>
      <c r="V399" s="554"/>
      <c r="W399" s="555"/>
      <c r="X399" s="492"/>
      <c r="Y399" s="492"/>
      <c r="Z399" s="492"/>
    </row>
    <row r="400" spans="1:26" ht="15.6" x14ac:dyDescent="0.3">
      <c r="A400" s="570"/>
      <c r="B400" s="566"/>
      <c r="C400" s="571"/>
      <c r="D400" s="566"/>
      <c r="E400" s="566"/>
      <c r="F400" s="566"/>
      <c r="G400" s="554"/>
      <c r="H400" s="514"/>
      <c r="I400" s="523"/>
      <c r="J400" s="553"/>
      <c r="K400" s="568"/>
      <c r="L400" s="568"/>
      <c r="M400" s="569"/>
      <c r="N400" s="553"/>
      <c r="O400" s="554"/>
      <c r="P400" s="568"/>
      <c r="Q400" s="556">
        <f>60*Q397/F396</f>
        <v>247.29674835331556</v>
      </c>
      <c r="R400" s="572"/>
      <c r="S400" s="568"/>
      <c r="T400" s="569"/>
      <c r="U400" s="553"/>
      <c r="V400" s="554"/>
      <c r="W400" s="555"/>
      <c r="X400" s="492"/>
      <c r="Y400" s="492"/>
      <c r="Z400" s="492"/>
    </row>
    <row r="401" spans="1:26" ht="15.6" x14ac:dyDescent="0.3">
      <c r="A401" s="532">
        <v>63</v>
      </c>
      <c r="B401" s="535" t="s">
        <v>104</v>
      </c>
      <c r="C401" s="564">
        <v>37783</v>
      </c>
      <c r="D401" s="535">
        <v>30.9</v>
      </c>
      <c r="E401" s="535">
        <v>173</v>
      </c>
      <c r="F401" s="535">
        <v>59.97</v>
      </c>
      <c r="G401" s="536" t="s">
        <v>241</v>
      </c>
      <c r="H401" s="533" t="s">
        <v>61</v>
      </c>
      <c r="I401" s="535" t="s">
        <v>240</v>
      </c>
      <c r="J401" s="533" t="s">
        <v>24</v>
      </c>
      <c r="K401" s="537">
        <v>21.635999999999999</v>
      </c>
      <c r="L401" s="537">
        <v>21.669</v>
      </c>
      <c r="M401" s="552">
        <f>L401-K401</f>
        <v>3.3000000000001251E-2</v>
      </c>
      <c r="N401" s="533" t="s">
        <v>162</v>
      </c>
      <c r="O401" s="536" t="s">
        <v>169</v>
      </c>
      <c r="P401" s="540" t="s">
        <v>166</v>
      </c>
      <c r="Q401" s="541" t="s">
        <v>167</v>
      </c>
      <c r="R401" s="542">
        <f>60*SUM(M401:M404)/F401</f>
        <v>0.13206603301650971</v>
      </c>
      <c r="S401" s="537">
        <f>100*SUM(M401:M404)/P404</f>
        <v>0.27181326927313115</v>
      </c>
      <c r="T401" s="538">
        <f>1000*SUM(M401:M404)/P404</f>
        <v>2.7181326927313116</v>
      </c>
      <c r="U401" s="533"/>
      <c r="V401" s="536"/>
      <c r="W401" s="543"/>
      <c r="X401" s="492"/>
      <c r="Y401" s="492"/>
      <c r="Z401" s="492"/>
    </row>
    <row r="402" spans="1:26" ht="15.6" x14ac:dyDescent="0.3">
      <c r="A402" s="532"/>
      <c r="B402" s="535" t="s">
        <v>239</v>
      </c>
      <c r="C402" s="564"/>
      <c r="D402" s="535"/>
      <c r="E402" s="535"/>
      <c r="F402" s="535"/>
      <c r="G402" s="536" t="s">
        <v>65</v>
      </c>
      <c r="H402" s="533">
        <v>304</v>
      </c>
      <c r="I402" s="535" t="s">
        <v>127</v>
      </c>
      <c r="J402" s="533" t="s">
        <v>23</v>
      </c>
      <c r="K402" s="537">
        <v>18.797000000000001</v>
      </c>
      <c r="L402" s="537">
        <v>18.829000000000001</v>
      </c>
      <c r="M402" s="538">
        <f>L402-K402</f>
        <v>3.2000000000000028E-2</v>
      </c>
      <c r="N402" s="533">
        <v>8.375</v>
      </c>
      <c r="O402" s="536">
        <f>9+1/12</f>
        <v>9.0833333333333339</v>
      </c>
      <c r="P402" s="537">
        <v>0.20319999999999999</v>
      </c>
      <c r="Q402" s="541">
        <f>N402*3.14159*O402</f>
        <v>238.98991427083334</v>
      </c>
      <c r="R402" s="542"/>
      <c r="S402" s="537"/>
      <c r="T402" s="538"/>
      <c r="U402" s="533"/>
      <c r="V402" s="536"/>
      <c r="W402" s="543"/>
      <c r="X402" s="492"/>
      <c r="Y402" s="492"/>
      <c r="Z402" s="492"/>
    </row>
    <row r="403" spans="1:26" ht="15.6" x14ac:dyDescent="0.3">
      <c r="A403" s="532"/>
      <c r="B403" s="535"/>
      <c r="C403" s="564"/>
      <c r="D403" s="535"/>
      <c r="E403" s="535"/>
      <c r="F403" s="535"/>
      <c r="G403" s="536"/>
      <c r="H403" s="533"/>
      <c r="I403" s="535"/>
      <c r="J403" s="533" t="s">
        <v>26</v>
      </c>
      <c r="K403" s="537">
        <v>19.8</v>
      </c>
      <c r="L403" s="537">
        <v>19.838999999999999</v>
      </c>
      <c r="M403" s="538">
        <f>L403-K403</f>
        <v>3.8999999999997925E-2</v>
      </c>
      <c r="N403" s="610"/>
      <c r="O403" s="536"/>
      <c r="P403" s="547"/>
      <c r="Q403" s="541"/>
      <c r="R403" s="542"/>
      <c r="S403" s="537"/>
      <c r="T403" s="538"/>
      <c r="U403" s="549"/>
      <c r="V403" s="550"/>
      <c r="W403" s="551"/>
      <c r="X403" s="492"/>
      <c r="Y403" s="492"/>
      <c r="Z403" s="492"/>
    </row>
    <row r="404" spans="1:26" ht="15.6" x14ac:dyDescent="0.3">
      <c r="A404" s="532"/>
      <c r="B404" s="535"/>
      <c r="C404" s="564"/>
      <c r="D404" s="535"/>
      <c r="E404" s="535"/>
      <c r="F404" s="535"/>
      <c r="G404" s="536"/>
      <c r="H404" s="533"/>
      <c r="I404" s="535"/>
      <c r="J404" s="533" t="s">
        <v>25</v>
      </c>
      <c r="K404" s="537">
        <v>21.581</v>
      </c>
      <c r="L404" s="537">
        <v>21.609000000000002</v>
      </c>
      <c r="M404" s="538">
        <f>L404-K404</f>
        <v>2.8000000000002245E-2</v>
      </c>
      <c r="N404" s="549" t="s">
        <v>18</v>
      </c>
      <c r="O404" s="550"/>
      <c r="P404" s="537">
        <f>Q402*P402</f>
        <v>48.562750579833335</v>
      </c>
      <c r="Q404" s="541" t="s">
        <v>163</v>
      </c>
      <c r="R404" s="542"/>
      <c r="S404" s="537"/>
      <c r="T404" s="538"/>
      <c r="U404" s="533"/>
      <c r="V404" s="536"/>
      <c r="W404" s="543"/>
      <c r="X404" s="492"/>
      <c r="Y404" s="492"/>
      <c r="Z404" s="492"/>
    </row>
    <row r="405" spans="1:26" ht="15.6" x14ac:dyDescent="0.3">
      <c r="A405" s="532"/>
      <c r="B405" s="535"/>
      <c r="C405" s="564"/>
      <c r="D405" s="535"/>
      <c r="E405" s="535"/>
      <c r="F405" s="535"/>
      <c r="G405" s="536"/>
      <c r="H405" s="533"/>
      <c r="I405" s="535"/>
      <c r="J405" s="533"/>
      <c r="K405" s="537"/>
      <c r="L405" s="537"/>
      <c r="M405" s="538"/>
      <c r="N405" s="610"/>
      <c r="O405" s="536"/>
      <c r="P405" s="537"/>
      <c r="Q405" s="541">
        <f>60*Q402/F401</f>
        <v>239.10946900533602</v>
      </c>
      <c r="R405" s="542"/>
      <c r="S405" s="537"/>
      <c r="T405" s="538"/>
      <c r="U405" s="533"/>
      <c r="V405" s="536"/>
      <c r="W405" s="543"/>
      <c r="X405" s="492"/>
      <c r="Y405" s="492"/>
      <c r="Z405" s="492"/>
    </row>
    <row r="406" spans="1:26" ht="15.6" x14ac:dyDescent="0.3">
      <c r="A406" s="570">
        <v>64</v>
      </c>
      <c r="B406" s="566" t="s">
        <v>104</v>
      </c>
      <c r="C406" s="571">
        <v>37783</v>
      </c>
      <c r="D406" s="566">
        <v>23.5</v>
      </c>
      <c r="E406" s="566">
        <v>128</v>
      </c>
      <c r="F406" s="566">
        <v>80</v>
      </c>
      <c r="G406" s="554" t="s">
        <v>66</v>
      </c>
      <c r="H406" s="514" t="s">
        <v>61</v>
      </c>
      <c r="I406" s="523" t="s">
        <v>240</v>
      </c>
      <c r="J406" s="553" t="s">
        <v>24</v>
      </c>
      <c r="K406" s="568">
        <v>19.331</v>
      </c>
      <c r="L406" s="568">
        <v>19.393999999999998</v>
      </c>
      <c r="M406" s="569">
        <f>L406-K406</f>
        <v>6.2999999999998835E-2</v>
      </c>
      <c r="N406" s="553" t="s">
        <v>162</v>
      </c>
      <c r="O406" s="554" t="s">
        <v>169</v>
      </c>
      <c r="P406" s="496" t="s">
        <v>166</v>
      </c>
      <c r="Q406" s="556" t="s">
        <v>167</v>
      </c>
      <c r="R406" s="572">
        <f>60*SUM(M406:M409)/F406</f>
        <v>0.18224999999999625</v>
      </c>
      <c r="S406" s="568">
        <f>100*SUM(M406:M409)/P409</f>
        <v>0.41491233886973911</v>
      </c>
      <c r="T406" s="569">
        <f>1000*SUM(M406:M409)/P409</f>
        <v>4.1491233886973911</v>
      </c>
      <c r="U406" s="553"/>
      <c r="V406" s="554"/>
      <c r="W406" s="555"/>
      <c r="X406" s="492"/>
      <c r="Y406" s="492"/>
      <c r="Z406" s="492"/>
    </row>
    <row r="407" spans="1:26" ht="15.6" x14ac:dyDescent="0.3">
      <c r="A407" s="570"/>
      <c r="B407" s="566" t="s">
        <v>239</v>
      </c>
      <c r="C407" s="571"/>
      <c r="D407" s="566"/>
      <c r="E407" s="566"/>
      <c r="F407" s="566"/>
      <c r="G407" s="554" t="s">
        <v>67</v>
      </c>
      <c r="H407" s="514">
        <v>304</v>
      </c>
      <c r="I407" s="523" t="s">
        <v>127</v>
      </c>
      <c r="J407" s="553" t="s">
        <v>23</v>
      </c>
      <c r="K407" s="568">
        <v>20.190000000000001</v>
      </c>
      <c r="L407" s="568">
        <v>20.239999999999998</v>
      </c>
      <c r="M407" s="569">
        <f>L407-K407</f>
        <v>4.9999999999997158E-2</v>
      </c>
      <c r="N407" s="553">
        <f>7+29/32-2*1.2</f>
        <v>5.5062499999999996</v>
      </c>
      <c r="O407" s="554">
        <f>27+2.5/12</f>
        <v>27.208333333333332</v>
      </c>
      <c r="P407" s="568">
        <v>0.124435</v>
      </c>
      <c r="Q407" s="556">
        <f>N407*3.14159*O407</f>
        <v>470.66008746614574</v>
      </c>
      <c r="R407" s="572"/>
      <c r="S407" s="568"/>
      <c r="T407" s="569"/>
      <c r="U407" s="553"/>
      <c r="V407" s="554"/>
      <c r="W407" s="555"/>
      <c r="X407" s="492"/>
      <c r="Y407" s="492"/>
      <c r="Z407" s="492"/>
    </row>
    <row r="408" spans="1:26" ht="15.6" x14ac:dyDescent="0.3">
      <c r="A408" s="570"/>
      <c r="B408" s="566"/>
      <c r="C408" s="571"/>
      <c r="D408" s="566"/>
      <c r="E408" s="566"/>
      <c r="F408" s="566"/>
      <c r="G408" s="554"/>
      <c r="H408" s="514"/>
      <c r="I408" s="523"/>
      <c r="J408" s="553" t="s">
        <v>26</v>
      </c>
      <c r="K408" s="568">
        <v>19.16</v>
      </c>
      <c r="L408" s="568">
        <v>19.218</v>
      </c>
      <c r="M408" s="569">
        <f>L408-K408</f>
        <v>5.7999999999999829E-2</v>
      </c>
      <c r="N408" s="492"/>
      <c r="O408" s="492"/>
      <c r="P408" s="493"/>
      <c r="Q408" s="556"/>
      <c r="R408" s="572"/>
      <c r="S408" s="568"/>
      <c r="T408" s="569"/>
      <c r="U408" s="573"/>
      <c r="V408" s="574"/>
      <c r="W408" s="575"/>
      <c r="X408" s="492"/>
      <c r="Y408" s="492"/>
      <c r="Z408" s="492"/>
    </row>
    <row r="409" spans="1:26" ht="15.6" x14ac:dyDescent="0.3">
      <c r="A409" s="570"/>
      <c r="B409" s="566"/>
      <c r="C409" s="571"/>
      <c r="D409" s="566"/>
      <c r="E409" s="566"/>
      <c r="F409" s="566"/>
      <c r="G409" s="554"/>
      <c r="H409" s="514"/>
      <c r="I409" s="523"/>
      <c r="J409" s="553" t="s">
        <v>25</v>
      </c>
      <c r="K409" s="568">
        <v>18.568000000000001</v>
      </c>
      <c r="L409" s="568">
        <v>18.64</v>
      </c>
      <c r="M409" s="569">
        <f>L409-K409</f>
        <v>7.1999999999999176E-2</v>
      </c>
      <c r="N409" s="573" t="s">
        <v>18</v>
      </c>
      <c r="O409" s="574"/>
      <c r="P409" s="568">
        <f>Q407*P407</f>
        <v>58.56658798384985</v>
      </c>
      <c r="Q409" s="556" t="s">
        <v>163</v>
      </c>
      <c r="R409" s="572"/>
      <c r="S409" s="568"/>
      <c r="T409" s="569"/>
      <c r="U409" s="553"/>
      <c r="V409" s="554"/>
      <c r="W409" s="555"/>
      <c r="X409" s="492"/>
      <c r="Y409" s="492"/>
      <c r="Z409" s="492"/>
    </row>
    <row r="410" spans="1:26" ht="15.6" x14ac:dyDescent="0.3">
      <c r="A410" s="570"/>
      <c r="B410" s="566"/>
      <c r="C410" s="571"/>
      <c r="D410" s="566"/>
      <c r="E410" s="566"/>
      <c r="F410" s="566"/>
      <c r="G410" s="554"/>
      <c r="H410" s="514"/>
      <c r="I410" s="523"/>
      <c r="J410" s="553"/>
      <c r="K410" s="568"/>
      <c r="L410" s="568"/>
      <c r="M410" s="569"/>
      <c r="N410" s="553"/>
      <c r="O410" s="554"/>
      <c r="P410" s="568"/>
      <c r="Q410" s="556">
        <f>60*Q407/F406</f>
        <v>352.99506559960935</v>
      </c>
      <c r="R410" s="572"/>
      <c r="S410" s="568"/>
      <c r="T410" s="569"/>
      <c r="U410" s="553"/>
      <c r="V410" s="554"/>
      <c r="W410" s="555"/>
      <c r="X410" s="492"/>
      <c r="Y410" s="492"/>
      <c r="Z410" s="492"/>
    </row>
    <row r="411" spans="1:26" ht="15.6" x14ac:dyDescent="0.3">
      <c r="A411" s="532">
        <v>65</v>
      </c>
      <c r="B411" s="535" t="s">
        <v>104</v>
      </c>
      <c r="C411" s="564">
        <v>37804</v>
      </c>
      <c r="D411" s="535">
        <v>25</v>
      </c>
      <c r="E411" s="539">
        <v>150</v>
      </c>
      <c r="F411" s="535">
        <v>42.28</v>
      </c>
      <c r="G411" s="535" t="s">
        <v>196</v>
      </c>
      <c r="H411" s="533" t="s">
        <v>61</v>
      </c>
      <c r="I411" s="535" t="s">
        <v>5</v>
      </c>
      <c r="J411" s="533" t="s">
        <v>24</v>
      </c>
      <c r="K411" s="537">
        <v>19.027999999999999</v>
      </c>
      <c r="L411" s="537">
        <v>19.117000000000001</v>
      </c>
      <c r="M411" s="552">
        <f>L411-K411</f>
        <v>8.9000000000002188E-2</v>
      </c>
      <c r="N411" s="533" t="s">
        <v>162</v>
      </c>
      <c r="O411" s="536" t="s">
        <v>169</v>
      </c>
      <c r="P411" s="540" t="s">
        <v>166</v>
      </c>
      <c r="Q411" s="541" t="s">
        <v>167</v>
      </c>
      <c r="R411" s="542">
        <f>60*SUM(M411:M414)/F411</f>
        <v>0.54210028382214015</v>
      </c>
      <c r="S411" s="537">
        <f>100*SUM(M411:M414)/P414</f>
        <v>1.0883968180913919</v>
      </c>
      <c r="T411" s="538">
        <f>1000*SUM(M411:M414)/P414</f>
        <v>10.88396818091392</v>
      </c>
      <c r="U411" s="533"/>
      <c r="V411" s="536"/>
      <c r="W411" s="543"/>
      <c r="X411" s="492"/>
      <c r="Y411" s="492"/>
      <c r="Z411" s="492"/>
    </row>
    <row r="412" spans="1:26" ht="15.6" x14ac:dyDescent="0.3">
      <c r="A412" s="532"/>
      <c r="B412" s="535" t="s">
        <v>198</v>
      </c>
      <c r="C412" s="564"/>
      <c r="D412" s="535"/>
      <c r="E412" s="539"/>
      <c r="F412" s="535"/>
      <c r="G412" s="535" t="s">
        <v>65</v>
      </c>
      <c r="H412" s="533">
        <v>304</v>
      </c>
      <c r="I412" s="535" t="s">
        <v>127</v>
      </c>
      <c r="J412" s="533" t="s">
        <v>23</v>
      </c>
      <c r="K412" s="537">
        <v>18.427</v>
      </c>
      <c r="L412" s="537">
        <v>18.529</v>
      </c>
      <c r="M412" s="538">
        <f>L412-K412</f>
        <v>0.10200000000000031</v>
      </c>
      <c r="N412" s="533">
        <f>8-2*0.4/2.54</f>
        <v>7.6850393700787398</v>
      </c>
      <c r="O412" s="536">
        <f>8+5/12</f>
        <v>8.4166666666666661</v>
      </c>
      <c r="P412" s="537">
        <v>0.17271910112359601</v>
      </c>
      <c r="Q412" s="541">
        <f>N412*3.14159*O412</f>
        <v>203.20562719160102</v>
      </c>
      <c r="R412" s="542"/>
      <c r="S412" s="537"/>
      <c r="T412" s="538"/>
      <c r="U412" s="533"/>
      <c r="V412" s="544"/>
      <c r="W412" s="543"/>
      <c r="X412" s="492"/>
      <c r="Y412" s="492"/>
      <c r="Z412" s="492"/>
    </row>
    <row r="413" spans="1:26" ht="15.6" x14ac:dyDescent="0.3">
      <c r="A413" s="532"/>
      <c r="B413" s="535"/>
      <c r="C413" s="564"/>
      <c r="D413" s="535"/>
      <c r="E413" s="539"/>
      <c r="F413" s="535"/>
      <c r="G413" s="535"/>
      <c r="H413" s="533"/>
      <c r="I413" s="535"/>
      <c r="J413" s="533" t="s">
        <v>26</v>
      </c>
      <c r="K413" s="537">
        <v>20.294</v>
      </c>
      <c r="L413" s="537">
        <v>20.407</v>
      </c>
      <c r="M413" s="538">
        <f>L413-K413</f>
        <v>0.11299999999999955</v>
      </c>
      <c r="N413" s="610"/>
      <c r="O413" s="536"/>
      <c r="P413" s="547"/>
      <c r="Q413" s="541"/>
      <c r="R413" s="542"/>
      <c r="S413" s="537"/>
      <c r="T413" s="538"/>
      <c r="U413" s="533"/>
      <c r="V413" s="544"/>
      <c r="W413" s="543"/>
      <c r="X413" s="492"/>
      <c r="Y413" s="492"/>
      <c r="Z413" s="492"/>
    </row>
    <row r="414" spans="1:26" ht="15.6" x14ac:dyDescent="0.3">
      <c r="A414" s="532"/>
      <c r="B414" s="535"/>
      <c r="C414" s="564"/>
      <c r="D414" s="535"/>
      <c r="E414" s="539"/>
      <c r="F414" s="535"/>
      <c r="G414" s="535"/>
      <c r="H414" s="533"/>
      <c r="I414" s="535"/>
      <c r="J414" s="533" t="s">
        <v>25</v>
      </c>
      <c r="K414" s="537">
        <v>19.062000000000001</v>
      </c>
      <c r="L414" s="537">
        <v>19.14</v>
      </c>
      <c r="M414" s="538">
        <f>L414-K414</f>
        <v>7.7999999999999403E-2</v>
      </c>
      <c r="N414" s="549" t="s">
        <v>18</v>
      </c>
      <c r="O414" s="550"/>
      <c r="P414" s="537">
        <f>Q412*P412</f>
        <v>35.097493271789887</v>
      </c>
      <c r="Q414" s="541" t="s">
        <v>163</v>
      </c>
      <c r="R414" s="542"/>
      <c r="S414" s="537"/>
      <c r="T414" s="538"/>
      <c r="U414" s="562"/>
      <c r="V414" s="544"/>
      <c r="W414" s="543"/>
      <c r="X414" s="492"/>
      <c r="Y414" s="492"/>
      <c r="Z414" s="492"/>
    </row>
    <row r="415" spans="1:26" ht="15.6" x14ac:dyDescent="0.3">
      <c r="A415" s="532"/>
      <c r="B415" s="535"/>
      <c r="C415" s="564"/>
      <c r="D415" s="535"/>
      <c r="E415" s="539"/>
      <c r="F415" s="535"/>
      <c r="G415" s="535"/>
      <c r="H415" s="533"/>
      <c r="I415" s="535"/>
      <c r="J415" s="533"/>
      <c r="K415" s="537"/>
      <c r="L415" s="537"/>
      <c r="M415" s="538"/>
      <c r="N415" s="610"/>
      <c r="O415" s="536"/>
      <c r="P415" s="537"/>
      <c r="Q415" s="541">
        <f>60*Q412/F411</f>
        <v>288.37127794456154</v>
      </c>
      <c r="R415" s="542"/>
      <c r="S415" s="537"/>
      <c r="T415" s="538"/>
      <c r="U415" s="562"/>
      <c r="V415" s="544"/>
      <c r="W415" s="543"/>
      <c r="X415" s="492"/>
      <c r="Y415" s="492"/>
      <c r="Z415" s="492"/>
    </row>
    <row r="416" spans="1:26" ht="15.6" x14ac:dyDescent="0.3">
      <c r="A416" s="570">
        <v>66</v>
      </c>
      <c r="B416" s="566" t="s">
        <v>104</v>
      </c>
      <c r="C416" s="571">
        <v>37809</v>
      </c>
      <c r="D416" s="566">
        <v>24.3</v>
      </c>
      <c r="E416" s="490">
        <v>180</v>
      </c>
      <c r="F416" s="566">
        <v>68.31</v>
      </c>
      <c r="G416" s="513" t="s">
        <v>66</v>
      </c>
      <c r="H416" s="514" t="s">
        <v>61</v>
      </c>
      <c r="I416" s="523" t="s">
        <v>274</v>
      </c>
      <c r="J416" s="553" t="s">
        <v>24</v>
      </c>
      <c r="K416" s="568">
        <v>19.794</v>
      </c>
      <c r="L416" s="568">
        <v>19.837</v>
      </c>
      <c r="M416" s="569">
        <f>L416-K416</f>
        <v>4.2999999999999261E-2</v>
      </c>
      <c r="N416" s="553" t="s">
        <v>162</v>
      </c>
      <c r="O416" s="554" t="s">
        <v>169</v>
      </c>
      <c r="P416" s="496" t="s">
        <v>166</v>
      </c>
      <c r="Q416" s="556" t="s">
        <v>167</v>
      </c>
      <c r="R416" s="572">
        <f>60*SUM(M416:M419)/F416</f>
        <v>0.16337285902503601</v>
      </c>
      <c r="S416" s="568">
        <f>100*SUM(M416:M419)/P419</f>
        <v>0.34109285557750402</v>
      </c>
      <c r="T416" s="569">
        <f>1000*SUM(M416:M419)/P419</f>
        <v>3.4109285557750404</v>
      </c>
      <c r="U416" s="553"/>
      <c r="V416" s="554"/>
      <c r="W416" s="555"/>
      <c r="X416" s="492"/>
      <c r="Y416" s="492"/>
      <c r="Z416" s="492"/>
    </row>
    <row r="417" spans="1:26" ht="15.6" x14ac:dyDescent="0.3">
      <c r="A417" s="570"/>
      <c r="B417" s="566" t="s">
        <v>123</v>
      </c>
      <c r="C417" s="571"/>
      <c r="D417" s="566"/>
      <c r="E417" s="490"/>
      <c r="F417" s="566"/>
      <c r="G417" s="513" t="s">
        <v>67</v>
      </c>
      <c r="H417" s="514">
        <v>304</v>
      </c>
      <c r="I417" s="523" t="s">
        <v>127</v>
      </c>
      <c r="J417" s="553" t="s">
        <v>23</v>
      </c>
      <c r="K417" s="568">
        <v>20.555</v>
      </c>
      <c r="L417" s="568">
        <v>20.606000000000002</v>
      </c>
      <c r="M417" s="569">
        <f>L417-K417</f>
        <v>5.1000000000001933E-2</v>
      </c>
      <c r="N417" s="553">
        <f>7+29/32-2*1.2</f>
        <v>5.5062499999999996</v>
      </c>
      <c r="O417" s="554">
        <f>25+4/12</f>
        <v>25.333333333333332</v>
      </c>
      <c r="P417" s="568">
        <v>0.124435</v>
      </c>
      <c r="Q417" s="556">
        <f>N417*3.14159*O417</f>
        <v>438.22562508333328</v>
      </c>
      <c r="R417" s="572"/>
      <c r="S417" s="568"/>
      <c r="T417" s="569"/>
      <c r="U417" s="600"/>
      <c r="V417" s="557"/>
      <c r="W417" s="555"/>
      <c r="X417" s="492"/>
      <c r="Y417" s="492"/>
      <c r="Z417" s="492"/>
    </row>
    <row r="418" spans="1:26" ht="15.6" x14ac:dyDescent="0.3">
      <c r="A418" s="570"/>
      <c r="B418" s="566" t="s">
        <v>275</v>
      </c>
      <c r="C418" s="571"/>
      <c r="D418" s="566"/>
      <c r="E418" s="566"/>
      <c r="F418" s="566"/>
      <c r="G418" s="554"/>
      <c r="H418" s="514"/>
      <c r="I418" s="523"/>
      <c r="J418" s="553" t="s">
        <v>26</v>
      </c>
      <c r="K418" s="568">
        <v>18.585999999999999</v>
      </c>
      <c r="L418" s="568">
        <v>18.626000000000001</v>
      </c>
      <c r="M418" s="569">
        <f>L418-K418</f>
        <v>4.00000000000027E-2</v>
      </c>
      <c r="N418" s="492"/>
      <c r="O418" s="492"/>
      <c r="P418" s="493"/>
      <c r="Q418" s="556"/>
      <c r="R418" s="572"/>
      <c r="S418" s="568"/>
      <c r="T418" s="569"/>
      <c r="U418" s="600"/>
      <c r="V418" s="557"/>
      <c r="W418" s="555"/>
      <c r="X418" s="492"/>
      <c r="Y418" s="492"/>
      <c r="Z418" s="492"/>
    </row>
    <row r="419" spans="1:26" ht="15.6" x14ac:dyDescent="0.3">
      <c r="A419" s="570"/>
      <c r="B419" s="566"/>
      <c r="C419" s="571"/>
      <c r="D419" s="566"/>
      <c r="E419" s="566"/>
      <c r="F419" s="566"/>
      <c r="G419" s="554"/>
      <c r="H419" s="514"/>
      <c r="I419" s="523"/>
      <c r="J419" s="553" t="s">
        <v>25</v>
      </c>
      <c r="K419" s="568">
        <v>20.475000000000001</v>
      </c>
      <c r="L419" s="568">
        <v>20.527000000000001</v>
      </c>
      <c r="M419" s="569">
        <f>L419-K419</f>
        <v>5.1999999999999602E-2</v>
      </c>
      <c r="N419" s="573" t="s">
        <v>18</v>
      </c>
      <c r="O419" s="574"/>
      <c r="P419" s="568">
        <f>Q417*P417</f>
        <v>54.530605657244578</v>
      </c>
      <c r="Q419" s="556" t="s">
        <v>163</v>
      </c>
      <c r="R419" s="572"/>
      <c r="S419" s="568"/>
      <c r="T419" s="569"/>
      <c r="U419" s="600"/>
      <c r="V419" s="557"/>
      <c r="W419" s="555"/>
      <c r="X419" s="492"/>
      <c r="Y419" s="492"/>
      <c r="Z419" s="492"/>
    </row>
    <row r="420" spans="1:26" ht="15.6" x14ac:dyDescent="0.3">
      <c r="A420" s="570"/>
      <c r="B420" s="566"/>
      <c r="C420" s="571"/>
      <c r="D420" s="566"/>
      <c r="E420" s="566"/>
      <c r="F420" s="566"/>
      <c r="G420" s="554"/>
      <c r="H420" s="514"/>
      <c r="I420" s="523"/>
      <c r="J420" s="553"/>
      <c r="K420" s="568"/>
      <c r="L420" s="568"/>
      <c r="M420" s="569"/>
      <c r="N420" s="553"/>
      <c r="O420" s="554"/>
      <c r="P420" s="568"/>
      <c r="Q420" s="556">
        <f>60*Q417/F416</f>
        <v>384.91491004245347</v>
      </c>
      <c r="R420" s="572"/>
      <c r="S420" s="568"/>
      <c r="T420" s="569"/>
      <c r="U420" s="600"/>
      <c r="V420" s="557"/>
      <c r="W420" s="555"/>
      <c r="X420" s="492"/>
      <c r="Y420" s="492"/>
      <c r="Z420" s="492"/>
    </row>
    <row r="421" spans="1:26" ht="15.6" x14ac:dyDescent="0.3">
      <c r="A421" s="532">
        <v>67</v>
      </c>
      <c r="B421" s="535" t="s">
        <v>104</v>
      </c>
      <c r="C421" s="564">
        <v>37809</v>
      </c>
      <c r="D421" s="535">
        <v>23.4</v>
      </c>
      <c r="E421" s="535">
        <v>162</v>
      </c>
      <c r="F421" s="535">
        <v>69.5</v>
      </c>
      <c r="G421" s="536" t="s">
        <v>66</v>
      </c>
      <c r="H421" s="533" t="s">
        <v>61</v>
      </c>
      <c r="I421" s="535" t="s">
        <v>274</v>
      </c>
      <c r="J421" s="533" t="s">
        <v>24</v>
      </c>
      <c r="K421" s="537">
        <v>20.042000000000002</v>
      </c>
      <c r="L421" s="537">
        <v>20.137</v>
      </c>
      <c r="M421" s="552">
        <f>L421-K421</f>
        <v>9.4999999999998863E-2</v>
      </c>
      <c r="N421" s="533" t="s">
        <v>162</v>
      </c>
      <c r="O421" s="536" t="s">
        <v>169</v>
      </c>
      <c r="P421" s="540" t="s">
        <v>166</v>
      </c>
      <c r="Q421" s="541" t="s">
        <v>167</v>
      </c>
      <c r="R421" s="542">
        <f>60*SUM(M421:M424)/F421</f>
        <v>0.31769784172661436</v>
      </c>
      <c r="S421" s="537">
        <f>100*SUM(M421:M424)/P424</f>
        <v>0.67596216079724525</v>
      </c>
      <c r="T421" s="538">
        <f>1000*SUM(M421:M424)/P424</f>
        <v>6.759621607972452</v>
      </c>
      <c r="U421" s="533"/>
      <c r="V421" s="536"/>
      <c r="W421" s="543"/>
      <c r="X421" s="492"/>
      <c r="Y421" s="492"/>
      <c r="Z421" s="492"/>
    </row>
    <row r="422" spans="1:26" ht="15.6" x14ac:dyDescent="0.3">
      <c r="A422" s="532"/>
      <c r="B422" s="535" t="s">
        <v>123</v>
      </c>
      <c r="C422" s="564"/>
      <c r="D422" s="535"/>
      <c r="E422" s="535"/>
      <c r="F422" s="535"/>
      <c r="G422" s="536" t="s">
        <v>67</v>
      </c>
      <c r="H422" s="533">
        <v>304</v>
      </c>
      <c r="I422" s="535" t="s">
        <v>127</v>
      </c>
      <c r="J422" s="533" t="s">
        <v>23</v>
      </c>
      <c r="K422" s="537">
        <v>23.832000000000001</v>
      </c>
      <c r="L422" s="537">
        <v>23.954999999999998</v>
      </c>
      <c r="M422" s="538">
        <f>L422-K422</f>
        <v>0.12299999999999756</v>
      </c>
      <c r="N422" s="533">
        <f>7+29/32-2*1.2</f>
        <v>5.5062499999999996</v>
      </c>
      <c r="O422" s="536">
        <f>25+3.5/12</f>
        <v>25.291666666666668</v>
      </c>
      <c r="P422" s="537">
        <v>0.124435</v>
      </c>
      <c r="Q422" s="541">
        <f>N422*3.14159*O422</f>
        <v>437.50485925260415</v>
      </c>
      <c r="R422" s="542"/>
      <c r="S422" s="537"/>
      <c r="T422" s="538"/>
      <c r="U422" s="562"/>
      <c r="V422" s="544"/>
      <c r="W422" s="543"/>
      <c r="X422" s="492"/>
      <c r="Y422" s="492"/>
      <c r="Z422" s="492"/>
    </row>
    <row r="423" spans="1:26" ht="15.6" x14ac:dyDescent="0.3">
      <c r="A423" s="532"/>
      <c r="B423" s="535" t="s">
        <v>275</v>
      </c>
      <c r="C423" s="564"/>
      <c r="D423" s="535"/>
      <c r="E423" s="535"/>
      <c r="F423" s="535"/>
      <c r="G423" s="536"/>
      <c r="H423" s="533"/>
      <c r="I423" s="535"/>
      <c r="J423" s="533" t="s">
        <v>26</v>
      </c>
      <c r="K423" s="537">
        <v>21.512</v>
      </c>
      <c r="L423" s="537">
        <v>21.587</v>
      </c>
      <c r="M423" s="538">
        <f>L423-K423</f>
        <v>7.4999999999999289E-2</v>
      </c>
      <c r="N423" s="610"/>
      <c r="O423" s="536"/>
      <c r="P423" s="547"/>
      <c r="Q423" s="541"/>
      <c r="R423" s="542"/>
      <c r="S423" s="537"/>
      <c r="T423" s="538"/>
      <c r="U423" s="549"/>
      <c r="V423" s="550"/>
      <c r="W423" s="551"/>
      <c r="X423" s="492"/>
      <c r="Y423" s="492"/>
      <c r="Z423" s="492"/>
    </row>
    <row r="424" spans="1:26" ht="15.6" x14ac:dyDescent="0.3">
      <c r="A424" s="532"/>
      <c r="B424" s="535"/>
      <c r="C424" s="564"/>
      <c r="D424" s="535"/>
      <c r="E424" s="535"/>
      <c r="F424" s="535"/>
      <c r="G424" s="536"/>
      <c r="H424" s="533"/>
      <c r="I424" s="535"/>
      <c r="J424" s="533" t="s">
        <v>25</v>
      </c>
      <c r="K424" s="537">
        <v>21.603999999999999</v>
      </c>
      <c r="L424" s="537">
        <v>21.678999999999998</v>
      </c>
      <c r="M424" s="538">
        <f>L424-K424</f>
        <v>7.4999999999999289E-2</v>
      </c>
      <c r="N424" s="549" t="s">
        <v>18</v>
      </c>
      <c r="O424" s="550"/>
      <c r="P424" s="537">
        <f>Q422*P422</f>
        <v>54.440917161097801</v>
      </c>
      <c r="Q424" s="541" t="s">
        <v>163</v>
      </c>
      <c r="R424" s="542"/>
      <c r="S424" s="537"/>
      <c r="T424" s="538"/>
      <c r="U424" s="562"/>
      <c r="V424" s="544"/>
      <c r="W424" s="543"/>
      <c r="X424" s="492"/>
      <c r="Y424" s="492"/>
      <c r="Z424" s="492"/>
    </row>
    <row r="425" spans="1:26" ht="15.6" x14ac:dyDescent="0.3">
      <c r="A425" s="532"/>
      <c r="B425" s="535"/>
      <c r="C425" s="564"/>
      <c r="D425" s="535"/>
      <c r="E425" s="535"/>
      <c r="F425" s="535"/>
      <c r="G425" s="536"/>
      <c r="H425" s="533"/>
      <c r="I425" s="535"/>
      <c r="J425" s="533"/>
      <c r="K425" s="537"/>
      <c r="L425" s="537"/>
      <c r="M425" s="538"/>
      <c r="N425" s="610"/>
      <c r="O425" s="536"/>
      <c r="P425" s="537"/>
      <c r="Q425" s="541">
        <f>60*Q422/F421</f>
        <v>377.70203676483811</v>
      </c>
      <c r="R425" s="542"/>
      <c r="S425" s="537"/>
      <c r="T425" s="538"/>
      <c r="U425" s="562"/>
      <c r="V425" s="544"/>
      <c r="W425" s="543"/>
      <c r="X425" s="492"/>
      <c r="Y425" s="492"/>
      <c r="Z425" s="492"/>
    </row>
    <row r="426" spans="1:26" ht="15.6" x14ac:dyDescent="0.3">
      <c r="A426" s="570">
        <v>68</v>
      </c>
      <c r="B426" s="566" t="s">
        <v>104</v>
      </c>
      <c r="C426" s="571">
        <v>37809</v>
      </c>
      <c r="D426" s="566">
        <v>23.7</v>
      </c>
      <c r="E426" s="566">
        <v>146</v>
      </c>
      <c r="F426" s="566">
        <v>40.22</v>
      </c>
      <c r="G426" s="513" t="s">
        <v>66</v>
      </c>
      <c r="H426" s="523" t="s">
        <v>61</v>
      </c>
      <c r="I426" s="523" t="s">
        <v>240</v>
      </c>
      <c r="J426" s="553" t="s">
        <v>24</v>
      </c>
      <c r="K426" s="568">
        <v>14.77</v>
      </c>
      <c r="L426" s="568">
        <v>14.839</v>
      </c>
      <c r="M426" s="569">
        <f>L426-K426</f>
        <v>6.9000000000000838E-2</v>
      </c>
      <c r="N426" s="553" t="s">
        <v>162</v>
      </c>
      <c r="O426" s="554" t="s">
        <v>169</v>
      </c>
      <c r="P426" s="496" t="s">
        <v>166</v>
      </c>
      <c r="Q426" s="556" t="s">
        <v>167</v>
      </c>
      <c r="R426" s="572">
        <f>60*SUM(M426:M429)/F426</f>
        <v>0.38786673296867463</v>
      </c>
      <c r="S426" s="568">
        <f>100*SUM(M426:M429)/P429</f>
        <v>0.76488720472226224</v>
      </c>
      <c r="T426" s="554">
        <f>1000*SUM(M426:M429)/P429</f>
        <v>7.648872047222623</v>
      </c>
      <c r="U426" s="553"/>
      <c r="V426" s="554"/>
      <c r="W426" s="555"/>
      <c r="X426" s="492"/>
      <c r="Y426" s="492"/>
      <c r="Z426" s="492"/>
    </row>
    <row r="427" spans="1:26" ht="15.6" x14ac:dyDescent="0.3">
      <c r="A427" s="570"/>
      <c r="B427" s="566" t="s">
        <v>123</v>
      </c>
      <c r="C427" s="571"/>
      <c r="D427" s="566"/>
      <c r="E427" s="566"/>
      <c r="F427" s="566"/>
      <c r="G427" s="513" t="s">
        <v>67</v>
      </c>
      <c r="H427" s="523">
        <v>304</v>
      </c>
      <c r="I427" s="523" t="s">
        <v>127</v>
      </c>
      <c r="J427" s="553" t="s">
        <v>23</v>
      </c>
      <c r="K427" s="568">
        <v>15.366</v>
      </c>
      <c r="L427" s="568">
        <v>15.429</v>
      </c>
      <c r="M427" s="569">
        <f>L427-K427</f>
        <v>6.3000000000000611E-2</v>
      </c>
      <c r="N427" s="553">
        <f>7+29/32-2*1.2</f>
        <v>5.5062499999999996</v>
      </c>
      <c r="O427" s="554">
        <f>15+9.5/12</f>
        <v>15.791666666666666</v>
      </c>
      <c r="P427" s="568">
        <v>0.124435</v>
      </c>
      <c r="Q427" s="556">
        <f>N427*3.14159*O427</f>
        <v>273.17024984635412</v>
      </c>
      <c r="R427" s="572"/>
      <c r="S427" s="568"/>
      <c r="T427" s="554"/>
      <c r="U427" s="600"/>
      <c r="V427" s="557"/>
      <c r="W427" s="555"/>
      <c r="X427" s="492"/>
      <c r="Y427" s="492"/>
      <c r="Z427" s="492"/>
    </row>
    <row r="428" spans="1:26" ht="15.6" x14ac:dyDescent="0.3">
      <c r="A428" s="570"/>
      <c r="B428" s="566"/>
      <c r="C428" s="571"/>
      <c r="D428" s="566"/>
      <c r="E428" s="566"/>
      <c r="F428" s="566"/>
      <c r="G428" s="554"/>
      <c r="H428" s="523"/>
      <c r="I428" s="523"/>
      <c r="J428" s="553" t="s">
        <v>26</v>
      </c>
      <c r="K428" s="568">
        <v>15.891999999999999</v>
      </c>
      <c r="L428" s="568">
        <v>15.948</v>
      </c>
      <c r="M428" s="569">
        <f>L428-K428</f>
        <v>5.6000000000000938E-2</v>
      </c>
      <c r="N428" s="492"/>
      <c r="O428" s="492"/>
      <c r="P428" s="493"/>
      <c r="Q428" s="556"/>
      <c r="R428" s="572"/>
      <c r="S428" s="568"/>
      <c r="T428" s="554"/>
      <c r="U428" s="573"/>
      <c r="V428" s="574"/>
      <c r="W428" s="575"/>
      <c r="X428" s="492"/>
      <c r="Y428" s="492"/>
      <c r="Z428" s="492"/>
    </row>
    <row r="429" spans="1:26" ht="15.6" x14ac:dyDescent="0.3">
      <c r="A429" s="565"/>
      <c r="B429" s="554"/>
      <c r="C429" s="601"/>
      <c r="D429" s="566"/>
      <c r="E429" s="554"/>
      <c r="F429" s="566"/>
      <c r="G429" s="554"/>
      <c r="H429" s="514"/>
      <c r="I429" s="523"/>
      <c r="J429" s="553" t="s">
        <v>25</v>
      </c>
      <c r="K429" s="568">
        <v>14.178000000000001</v>
      </c>
      <c r="L429" s="568">
        <v>14.25</v>
      </c>
      <c r="M429" s="554">
        <f>L429-K429</f>
        <v>7.1999999999999176E-2</v>
      </c>
      <c r="N429" s="573" t="s">
        <v>18</v>
      </c>
      <c r="O429" s="574"/>
      <c r="P429" s="568">
        <f>Q427*P427</f>
        <v>33.991940039631075</v>
      </c>
      <c r="Q429" s="556" t="s">
        <v>163</v>
      </c>
      <c r="R429" s="572"/>
      <c r="S429" s="568"/>
      <c r="T429" s="554"/>
      <c r="U429" s="600"/>
      <c r="V429" s="557"/>
      <c r="W429" s="555"/>
      <c r="X429" s="492"/>
      <c r="Y429" s="492"/>
      <c r="Z429" s="492"/>
    </row>
    <row r="430" spans="1:26" ht="15.6" x14ac:dyDescent="0.3">
      <c r="A430" s="565"/>
      <c r="B430" s="554"/>
      <c r="C430" s="601"/>
      <c r="D430" s="566"/>
      <c r="E430" s="554"/>
      <c r="F430" s="566"/>
      <c r="G430" s="554"/>
      <c r="H430" s="514"/>
      <c r="I430" s="523"/>
      <c r="J430" s="553"/>
      <c r="K430" s="568"/>
      <c r="L430" s="568"/>
      <c r="M430" s="554"/>
      <c r="N430" s="553"/>
      <c r="O430" s="554"/>
      <c r="P430" s="568"/>
      <c r="Q430" s="556">
        <f>60*Q427/F426</f>
        <v>407.51404750823593</v>
      </c>
      <c r="R430" s="572"/>
      <c r="S430" s="568"/>
      <c r="T430" s="554"/>
      <c r="U430" s="600"/>
      <c r="V430" s="557"/>
      <c r="W430" s="555"/>
      <c r="X430" s="492"/>
      <c r="Y430" s="492"/>
      <c r="Z430" s="492"/>
    </row>
    <row r="431" spans="1:26" ht="15.6" x14ac:dyDescent="0.3">
      <c r="A431" s="602">
        <v>69</v>
      </c>
      <c r="B431" s="536" t="s">
        <v>104</v>
      </c>
      <c r="C431" s="534">
        <v>37809</v>
      </c>
      <c r="D431" s="535">
        <v>23.8</v>
      </c>
      <c r="E431" s="536">
        <v>148</v>
      </c>
      <c r="F431" s="535">
        <v>60.4</v>
      </c>
      <c r="G431" s="536" t="s">
        <v>66</v>
      </c>
      <c r="H431" s="533" t="s">
        <v>61</v>
      </c>
      <c r="I431" s="535" t="s">
        <v>240</v>
      </c>
      <c r="J431" s="533" t="s">
        <v>24</v>
      </c>
      <c r="K431" s="537">
        <v>22.503</v>
      </c>
      <c r="L431" s="537">
        <v>22.574000000000002</v>
      </c>
      <c r="M431" s="536">
        <f>L431-K431</f>
        <v>7.1000000000001506E-2</v>
      </c>
      <c r="N431" s="533" t="s">
        <v>162</v>
      </c>
      <c r="O431" s="536" t="s">
        <v>169</v>
      </c>
      <c r="P431" s="540" t="s">
        <v>166</v>
      </c>
      <c r="Q431" s="541" t="s">
        <v>167</v>
      </c>
      <c r="R431" s="542">
        <f>60*SUM(M431:M434)/F431</f>
        <v>0.26920529801324583</v>
      </c>
      <c r="S431" s="537">
        <f>100*SUM(M431:M434)/P434</f>
        <v>0.53956593344655623</v>
      </c>
      <c r="T431" s="538">
        <f>1000*SUM(M431:M434)/P434</f>
        <v>5.3956593344655621</v>
      </c>
      <c r="U431" s="533"/>
      <c r="V431" s="536"/>
      <c r="W431" s="543"/>
      <c r="X431" s="492"/>
      <c r="Y431" s="492"/>
      <c r="Z431" s="492"/>
    </row>
    <row r="432" spans="1:26" ht="15.6" x14ac:dyDescent="0.3">
      <c r="A432" s="602"/>
      <c r="B432" s="536" t="s">
        <v>123</v>
      </c>
      <c r="C432" s="534"/>
      <c r="D432" s="535"/>
      <c r="E432" s="536"/>
      <c r="F432" s="535"/>
      <c r="G432" s="536" t="s">
        <v>67</v>
      </c>
      <c r="H432" s="533">
        <v>304</v>
      </c>
      <c r="I432" s="535" t="s">
        <v>127</v>
      </c>
      <c r="J432" s="533" t="s">
        <v>23</v>
      </c>
      <c r="K432" s="537">
        <v>16.138999999999999</v>
      </c>
      <c r="L432" s="537">
        <v>16.207000000000001</v>
      </c>
      <c r="M432" s="536">
        <f>L432-K432</f>
        <v>6.8000000000001393E-2</v>
      </c>
      <c r="N432" s="533">
        <f>7+29/32-2*1.2</f>
        <v>5.5062499999999996</v>
      </c>
      <c r="O432" s="536">
        <f>23+4/12</f>
        <v>23.333333333333332</v>
      </c>
      <c r="P432" s="537">
        <v>0.124435</v>
      </c>
      <c r="Q432" s="541">
        <f>N432*3.14159*O432</f>
        <v>403.62886520833325</v>
      </c>
      <c r="R432" s="542"/>
      <c r="S432" s="537"/>
      <c r="T432" s="538"/>
      <c r="U432" s="562"/>
      <c r="V432" s="544"/>
      <c r="W432" s="543"/>
      <c r="X432" s="492"/>
      <c r="Y432" s="492"/>
      <c r="Z432" s="492"/>
    </row>
    <row r="433" spans="1:26" ht="15.6" x14ac:dyDescent="0.3">
      <c r="A433" s="602"/>
      <c r="B433" s="536"/>
      <c r="C433" s="534"/>
      <c r="D433" s="535"/>
      <c r="E433" s="536"/>
      <c r="F433" s="535"/>
      <c r="G433" s="536"/>
      <c r="H433" s="533"/>
      <c r="I433" s="535"/>
      <c r="J433" s="533" t="s">
        <v>26</v>
      </c>
      <c r="K433" s="537">
        <v>16.03</v>
      </c>
      <c r="L433" s="537">
        <v>16.106999999999999</v>
      </c>
      <c r="M433" s="536">
        <f>L433-K433</f>
        <v>7.6999999999998181E-2</v>
      </c>
      <c r="N433" s="610"/>
      <c r="O433" s="536"/>
      <c r="P433" s="547"/>
      <c r="Q433" s="541"/>
      <c r="R433" s="542"/>
      <c r="S433" s="537"/>
      <c r="T433" s="538"/>
      <c r="U433" s="549"/>
      <c r="V433" s="550"/>
      <c r="W433" s="551"/>
      <c r="X433" s="492"/>
      <c r="Y433" s="492"/>
      <c r="Z433" s="492"/>
    </row>
    <row r="434" spans="1:26" ht="15.6" x14ac:dyDescent="0.3">
      <c r="A434" s="602"/>
      <c r="B434" s="536"/>
      <c r="C434" s="534"/>
      <c r="D434" s="535"/>
      <c r="E434" s="536"/>
      <c r="F434" s="535"/>
      <c r="G434" s="536"/>
      <c r="H434" s="533"/>
      <c r="I434" s="535"/>
      <c r="J434" s="533" t="s">
        <v>25</v>
      </c>
      <c r="K434" s="537">
        <v>21.603999999999999</v>
      </c>
      <c r="L434" s="537">
        <v>21.658999999999999</v>
      </c>
      <c r="M434" s="536">
        <f>L434-K434</f>
        <v>5.4999999999999716E-2</v>
      </c>
      <c r="N434" s="549" t="s">
        <v>18</v>
      </c>
      <c r="O434" s="550"/>
      <c r="P434" s="537">
        <f>Q432*P432</f>
        <v>50.225557842198953</v>
      </c>
      <c r="Q434" s="541" t="s">
        <v>163</v>
      </c>
      <c r="R434" s="542"/>
      <c r="S434" s="537"/>
      <c r="T434" s="538"/>
      <c r="U434" s="562"/>
      <c r="V434" s="544"/>
      <c r="W434" s="543"/>
      <c r="X434" s="492"/>
      <c r="Y434" s="492"/>
      <c r="Z434" s="492"/>
    </row>
    <row r="435" spans="1:26" ht="15.6" x14ac:dyDescent="0.3">
      <c r="A435" s="602"/>
      <c r="B435" s="536"/>
      <c r="C435" s="534"/>
      <c r="D435" s="535"/>
      <c r="E435" s="536"/>
      <c r="F435" s="535"/>
      <c r="G435" s="536"/>
      <c r="H435" s="533"/>
      <c r="I435" s="535"/>
      <c r="J435" s="533"/>
      <c r="K435" s="537"/>
      <c r="L435" s="537"/>
      <c r="M435" s="536"/>
      <c r="N435" s="610"/>
      <c r="O435" s="536"/>
      <c r="P435" s="537"/>
      <c r="Q435" s="541">
        <f>60*Q432/F431</f>
        <v>400.95582636589398</v>
      </c>
      <c r="R435" s="542"/>
      <c r="S435" s="537"/>
      <c r="T435" s="538"/>
      <c r="U435" s="562"/>
      <c r="V435" s="544"/>
      <c r="W435" s="543"/>
      <c r="X435" s="492"/>
      <c r="Y435" s="492"/>
      <c r="Z435" s="492"/>
    </row>
    <row r="436" spans="1:26" ht="15.6" x14ac:dyDescent="0.3">
      <c r="A436" s="565">
        <v>70</v>
      </c>
      <c r="B436" s="554" t="s">
        <v>104</v>
      </c>
      <c r="C436" s="601">
        <v>37810</v>
      </c>
      <c r="D436" s="566">
        <v>24.1</v>
      </c>
      <c r="E436" s="554">
        <v>127</v>
      </c>
      <c r="F436" s="566">
        <v>34.200000000000003</v>
      </c>
      <c r="G436" s="513" t="s">
        <v>66</v>
      </c>
      <c r="H436" s="514" t="s">
        <v>61</v>
      </c>
      <c r="I436" s="523" t="s">
        <v>240</v>
      </c>
      <c r="J436" s="553" t="s">
        <v>24</v>
      </c>
      <c r="K436" s="568">
        <v>21.753</v>
      </c>
      <c r="L436" s="568">
        <v>21.823</v>
      </c>
      <c r="M436" s="568">
        <f>L436-K436</f>
        <v>7.0000000000000284E-2</v>
      </c>
      <c r="N436" s="553" t="s">
        <v>162</v>
      </c>
      <c r="O436" s="554" t="s">
        <v>169</v>
      </c>
      <c r="P436" s="496" t="s">
        <v>166</v>
      </c>
      <c r="Q436" s="556" t="s">
        <v>167</v>
      </c>
      <c r="R436" s="572">
        <f>60*SUM(M436:M439)/F436</f>
        <v>0.43157894736841868</v>
      </c>
      <c r="S436" s="568">
        <f>100*SUM(M436:M439)/P439</f>
        <v>0.86798312615718809</v>
      </c>
      <c r="T436" s="569">
        <f>1000*SUM(M436:M439)/P439</f>
        <v>8.6798312615718807</v>
      </c>
      <c r="U436" s="553"/>
      <c r="V436" s="554"/>
      <c r="W436" s="555"/>
      <c r="X436" s="492"/>
      <c r="Y436" s="492"/>
      <c r="Z436" s="492"/>
    </row>
    <row r="437" spans="1:26" ht="15.6" x14ac:dyDescent="0.3">
      <c r="A437" s="565"/>
      <c r="B437" s="554" t="s">
        <v>239</v>
      </c>
      <c r="C437" s="601"/>
      <c r="D437" s="566"/>
      <c r="E437" s="554"/>
      <c r="F437" s="566"/>
      <c r="G437" s="513" t="s">
        <v>67</v>
      </c>
      <c r="H437" s="514">
        <v>304</v>
      </c>
      <c r="I437" s="523" t="s">
        <v>127</v>
      </c>
      <c r="J437" s="553" t="s">
        <v>23</v>
      </c>
      <c r="K437" s="568">
        <v>15.268000000000001</v>
      </c>
      <c r="L437" s="568">
        <v>15.327</v>
      </c>
      <c r="M437" s="568">
        <f>L437-K437</f>
        <v>5.8999999999999275E-2</v>
      </c>
      <c r="N437" s="553">
        <f>7+29/32-2*1.2</f>
        <v>5.5062499999999996</v>
      </c>
      <c r="O437" s="554">
        <f>13+2/12</f>
        <v>13.166666666666666</v>
      </c>
      <c r="P437" s="568">
        <v>0.124435</v>
      </c>
      <c r="Q437" s="556">
        <f>N437*3.14159*O437</f>
        <v>227.76200251041664</v>
      </c>
      <c r="R437" s="572"/>
      <c r="S437" s="568"/>
      <c r="T437" s="554"/>
      <c r="U437" s="600"/>
      <c r="V437" s="557"/>
      <c r="W437" s="555"/>
      <c r="X437" s="492"/>
      <c r="Y437" s="492"/>
      <c r="Z437" s="492"/>
    </row>
    <row r="438" spans="1:26" ht="15.6" x14ac:dyDescent="0.3">
      <c r="A438" s="565"/>
      <c r="B438" s="554" t="s">
        <v>276</v>
      </c>
      <c r="C438" s="601"/>
      <c r="D438" s="566"/>
      <c r="E438" s="554"/>
      <c r="F438" s="566"/>
      <c r="G438" s="554"/>
      <c r="H438" s="514"/>
      <c r="I438" s="523"/>
      <c r="J438" s="553" t="s">
        <v>26</v>
      </c>
      <c r="K438" s="568">
        <v>15.202999999999999</v>
      </c>
      <c r="L438" s="568">
        <v>15.26</v>
      </c>
      <c r="M438" s="568">
        <f>L438-K438</f>
        <v>5.7000000000000384E-2</v>
      </c>
      <c r="N438" s="611"/>
      <c r="O438" s="554"/>
      <c r="P438" s="568"/>
      <c r="Q438" s="556"/>
      <c r="R438" s="572"/>
      <c r="S438" s="568"/>
      <c r="T438" s="569"/>
      <c r="U438" s="600"/>
      <c r="V438" s="557"/>
      <c r="W438" s="555"/>
      <c r="X438" s="492"/>
      <c r="Y438" s="492"/>
      <c r="Z438" s="492"/>
    </row>
    <row r="439" spans="1:26" ht="15.6" x14ac:dyDescent="0.3">
      <c r="A439" s="565"/>
      <c r="B439" s="566"/>
      <c r="C439" s="567"/>
      <c r="D439" s="566"/>
      <c r="E439" s="554"/>
      <c r="F439" s="566"/>
      <c r="G439" s="554"/>
      <c r="H439" s="523"/>
      <c r="I439" s="513"/>
      <c r="J439" s="553" t="s">
        <v>25</v>
      </c>
      <c r="K439" s="568">
        <v>15.483000000000001</v>
      </c>
      <c r="L439" s="568">
        <v>15.542999999999999</v>
      </c>
      <c r="M439" s="568">
        <f>L439-K439</f>
        <v>5.9999999999998721E-2</v>
      </c>
      <c r="N439" s="573" t="s">
        <v>18</v>
      </c>
      <c r="O439" s="574"/>
      <c r="P439" s="568">
        <f>Q437*P437</f>
        <v>28.341564782383696</v>
      </c>
      <c r="Q439" s="556" t="s">
        <v>163</v>
      </c>
      <c r="R439" s="572"/>
      <c r="S439" s="568"/>
      <c r="T439" s="554"/>
      <c r="U439" s="600"/>
      <c r="V439" s="557"/>
      <c r="W439" s="555"/>
      <c r="X439" s="492"/>
      <c r="Y439" s="492"/>
      <c r="Z439" s="492"/>
    </row>
    <row r="440" spans="1:26" ht="15.6" x14ac:dyDescent="0.3">
      <c r="A440" s="565"/>
      <c r="B440" s="566"/>
      <c r="C440" s="567"/>
      <c r="D440" s="566"/>
      <c r="E440" s="554"/>
      <c r="F440" s="566"/>
      <c r="G440" s="554"/>
      <c r="H440" s="523"/>
      <c r="I440" s="513"/>
      <c r="J440" s="553"/>
      <c r="K440" s="568"/>
      <c r="L440" s="568"/>
      <c r="M440" s="554"/>
      <c r="N440" s="553"/>
      <c r="O440" s="554"/>
      <c r="P440" s="568"/>
      <c r="Q440" s="556">
        <f>60*Q437/F436</f>
        <v>399.58246054459056</v>
      </c>
      <c r="R440" s="572"/>
      <c r="S440" s="568"/>
      <c r="T440" s="554"/>
      <c r="U440" s="600"/>
      <c r="V440" s="557"/>
      <c r="W440" s="555"/>
      <c r="X440" s="492"/>
      <c r="Y440" s="492"/>
      <c r="Z440" s="492"/>
    </row>
    <row r="441" spans="1:26" ht="15.6" x14ac:dyDescent="0.3">
      <c r="A441" s="532">
        <v>71</v>
      </c>
      <c r="B441" s="535" t="s">
        <v>104</v>
      </c>
      <c r="C441" s="564">
        <v>37810</v>
      </c>
      <c r="D441" s="535">
        <v>24</v>
      </c>
      <c r="E441" s="535">
        <v>125</v>
      </c>
      <c r="F441" s="535">
        <v>34</v>
      </c>
      <c r="G441" s="536" t="s">
        <v>66</v>
      </c>
      <c r="H441" s="533" t="s">
        <v>61</v>
      </c>
      <c r="I441" s="535" t="s">
        <v>240</v>
      </c>
      <c r="J441" s="533" t="s">
        <v>24</v>
      </c>
      <c r="K441" s="537">
        <v>16.055</v>
      </c>
      <c r="L441" s="537">
        <v>16.111000000000001</v>
      </c>
      <c r="M441" s="538">
        <f>L441-K441</f>
        <v>5.6000000000000938E-2</v>
      </c>
      <c r="N441" s="533" t="s">
        <v>162</v>
      </c>
      <c r="O441" s="536" t="s">
        <v>169</v>
      </c>
      <c r="P441" s="537" t="s">
        <v>166</v>
      </c>
      <c r="Q441" s="541" t="s">
        <v>167</v>
      </c>
      <c r="R441" s="542">
        <f>60*SUM(M441:M444)/F441</f>
        <v>0.39000000000000012</v>
      </c>
      <c r="S441" s="537">
        <f>100*SUM(M441:M444)/P444</f>
        <v>0.78977055449126721</v>
      </c>
      <c r="T441" s="538">
        <f>1000*SUM(M441:M444)/P444</f>
        <v>7.8977055449126716</v>
      </c>
      <c r="U441" s="533"/>
      <c r="V441" s="536"/>
      <c r="W441" s="543"/>
      <c r="X441" s="492"/>
      <c r="Y441" s="492"/>
      <c r="Z441" s="492"/>
    </row>
    <row r="442" spans="1:26" ht="15.6" x14ac:dyDescent="0.3">
      <c r="A442" s="532"/>
      <c r="B442" s="535" t="s">
        <v>239</v>
      </c>
      <c r="C442" s="564"/>
      <c r="D442" s="535"/>
      <c r="E442" s="535"/>
      <c r="F442" s="535"/>
      <c r="G442" s="536" t="s">
        <v>67</v>
      </c>
      <c r="H442" s="533">
        <v>304</v>
      </c>
      <c r="I442" s="535" t="s">
        <v>127</v>
      </c>
      <c r="J442" s="533" t="s">
        <v>23</v>
      </c>
      <c r="K442" s="537">
        <v>16.314</v>
      </c>
      <c r="L442" s="537">
        <v>16.369</v>
      </c>
      <c r="M442" s="538">
        <f>L442-K442</f>
        <v>5.4999999999999716E-2</v>
      </c>
      <c r="N442" s="533">
        <f>7+29/32-2*1.2</f>
        <v>5.5062499999999996</v>
      </c>
      <c r="O442" s="536">
        <v>13</v>
      </c>
      <c r="P442" s="537">
        <v>0.124435</v>
      </c>
      <c r="Q442" s="541">
        <f>N442*3.14159*O442</f>
        <v>224.87893918749998</v>
      </c>
      <c r="R442" s="542"/>
      <c r="S442" s="537"/>
      <c r="T442" s="538"/>
      <c r="U442" s="533"/>
      <c r="V442" s="536"/>
      <c r="W442" s="543"/>
      <c r="X442" s="492"/>
      <c r="Y442" s="492"/>
      <c r="Z442" s="492"/>
    </row>
    <row r="443" spans="1:26" ht="15.6" x14ac:dyDescent="0.3">
      <c r="A443" s="532"/>
      <c r="B443" s="535" t="s">
        <v>276</v>
      </c>
      <c r="C443" s="564"/>
      <c r="D443" s="535"/>
      <c r="E443" s="535"/>
      <c r="F443" s="535"/>
      <c r="G443" s="536"/>
      <c r="H443" s="533"/>
      <c r="I443" s="535"/>
      <c r="J443" s="533" t="s">
        <v>26</v>
      </c>
      <c r="K443" s="537">
        <v>14.771000000000001</v>
      </c>
      <c r="L443" s="537">
        <v>14.826000000000001</v>
      </c>
      <c r="M443" s="538">
        <f>L443-K443</f>
        <v>5.4999999999999716E-2</v>
      </c>
      <c r="N443" s="610"/>
      <c r="O443" s="536"/>
      <c r="P443" s="615"/>
      <c r="Q443" s="541"/>
      <c r="R443" s="542"/>
      <c r="S443" s="537"/>
      <c r="T443" s="538"/>
      <c r="U443" s="549"/>
      <c r="V443" s="550"/>
      <c r="W443" s="551"/>
      <c r="X443" s="492"/>
      <c r="Y443" s="492"/>
      <c r="Z443" s="492"/>
    </row>
    <row r="444" spans="1:26" ht="15.6" x14ac:dyDescent="0.3">
      <c r="A444" s="532"/>
      <c r="B444" s="535"/>
      <c r="C444" s="564"/>
      <c r="D444" s="535"/>
      <c r="E444" s="535"/>
      <c r="F444" s="535"/>
      <c r="G444" s="536"/>
      <c r="H444" s="533"/>
      <c r="I444" s="535"/>
      <c r="J444" s="533" t="s">
        <v>25</v>
      </c>
      <c r="K444" s="537">
        <v>15.292</v>
      </c>
      <c r="L444" s="537">
        <v>15.347</v>
      </c>
      <c r="M444" s="538">
        <f>L444-K444</f>
        <v>5.4999999999999716E-2</v>
      </c>
      <c r="N444" s="549" t="s">
        <v>18</v>
      </c>
      <c r="O444" s="550"/>
      <c r="P444" s="537">
        <f>Q442*P442</f>
        <v>27.98281079779656</v>
      </c>
      <c r="Q444" s="541" t="s">
        <v>163</v>
      </c>
      <c r="R444" s="542"/>
      <c r="S444" s="537"/>
      <c r="T444" s="538"/>
      <c r="U444" s="533"/>
      <c r="V444" s="536"/>
      <c r="W444" s="543"/>
      <c r="X444" s="492"/>
      <c r="Y444" s="492"/>
      <c r="Z444" s="492"/>
    </row>
    <row r="445" spans="1:26" ht="16.2" thickBot="1" x14ac:dyDescent="0.35">
      <c r="A445" s="616"/>
      <c r="B445" s="617"/>
      <c r="C445" s="618"/>
      <c r="D445" s="617"/>
      <c r="E445" s="617"/>
      <c r="F445" s="617"/>
      <c r="G445" s="619"/>
      <c r="H445" s="620"/>
      <c r="I445" s="617"/>
      <c r="J445" s="620"/>
      <c r="K445" s="621"/>
      <c r="L445" s="621"/>
      <c r="M445" s="622"/>
      <c r="N445" s="623"/>
      <c r="O445" s="619"/>
      <c r="P445" s="621"/>
      <c r="Q445" s="624">
        <f>60*Q442/F441</f>
        <v>396.84518680147056</v>
      </c>
      <c r="R445" s="625"/>
      <c r="S445" s="621"/>
      <c r="T445" s="622"/>
      <c r="U445" s="620"/>
      <c r="V445" s="619"/>
      <c r="W445" s="626"/>
      <c r="X445" s="492"/>
      <c r="Y445" s="492"/>
      <c r="Z445" s="492"/>
    </row>
    <row r="446" spans="1:26" ht="15.6" x14ac:dyDescent="0.3">
      <c r="A446" s="490"/>
      <c r="B446" s="490"/>
      <c r="C446" s="495"/>
      <c r="D446" s="490"/>
      <c r="E446" s="490"/>
      <c r="F446" s="490"/>
      <c r="G446" s="490"/>
      <c r="H446" s="490"/>
      <c r="I446" s="490"/>
      <c r="J446" s="490"/>
      <c r="K446" s="496"/>
      <c r="L446" s="496"/>
      <c r="M446" s="490"/>
      <c r="N446" s="490"/>
      <c r="O446" s="490"/>
      <c r="P446" s="496"/>
      <c r="Q446" s="497"/>
      <c r="R446" s="496"/>
      <c r="S446" s="496"/>
      <c r="T446" s="490"/>
      <c r="U446" s="492"/>
      <c r="V446" s="492"/>
      <c r="W446" s="492"/>
      <c r="X446" s="492"/>
      <c r="Y446" s="492"/>
      <c r="Z446" s="492"/>
    </row>
  </sheetData>
  <pageMargins left="0.5" right="0.36" top="0.66" bottom="1" header="0.5" footer="0.5"/>
  <pageSetup scale="50" orientation="landscape" r:id="rId1"/>
  <headerFooter alignWithMargins="0"/>
  <rowBreaks count="6" manualBreakCount="6">
    <brk id="64" max="22" man="1"/>
    <brk id="128" max="22" man="1"/>
    <brk id="191" max="22" man="1"/>
    <brk id="255" max="22" man="1"/>
    <brk id="319" max="22" man="1"/>
    <brk id="383" max="22" man="1"/>
  </rowBreaks>
  <colBreaks count="1" manualBreakCount="1">
    <brk id="36" max="8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J23"/>
  <sheetViews>
    <sheetView workbookViewId="0">
      <selection activeCell="L22" sqref="L22"/>
    </sheetView>
  </sheetViews>
  <sheetFormatPr defaultRowHeight="13.2" x14ac:dyDescent="0.25"/>
  <cols>
    <col min="1" max="1" width="9.44140625" customWidth="1"/>
    <col min="2" max="2" width="13.6640625" customWidth="1"/>
    <col min="3" max="3" width="9.5546875" customWidth="1"/>
    <col min="4" max="4" width="8.33203125" customWidth="1"/>
    <col min="5" max="5" width="11" customWidth="1"/>
    <col min="6" max="6" width="11.33203125" customWidth="1"/>
    <col min="7" max="8" width="14.5546875" customWidth="1"/>
  </cols>
  <sheetData>
    <row r="1" spans="2:10" ht="27" thickTop="1" x14ac:dyDescent="0.25">
      <c r="B1" s="330" t="s">
        <v>309</v>
      </c>
      <c r="C1" s="331" t="s">
        <v>310</v>
      </c>
      <c r="D1" s="331" t="s">
        <v>311</v>
      </c>
      <c r="E1" s="331" t="s">
        <v>306</v>
      </c>
      <c r="F1" s="331" t="s">
        <v>307</v>
      </c>
      <c r="G1" s="331" t="s">
        <v>312</v>
      </c>
      <c r="H1" s="332" t="s">
        <v>317</v>
      </c>
      <c r="I1" s="1"/>
      <c r="J1" s="1"/>
    </row>
    <row r="2" spans="2:10" ht="13.8" thickBot="1" x14ac:dyDescent="0.3">
      <c r="B2" s="341"/>
      <c r="C2" s="204"/>
      <c r="D2" s="204"/>
      <c r="E2" s="204" t="s">
        <v>344</v>
      </c>
      <c r="F2" s="204" t="s">
        <v>344</v>
      </c>
      <c r="G2" s="204" t="s">
        <v>313</v>
      </c>
      <c r="H2" s="205" t="s">
        <v>314</v>
      </c>
      <c r="I2" s="1"/>
      <c r="J2" s="1"/>
    </row>
    <row r="3" spans="2:10" ht="13.8" thickTop="1" x14ac:dyDescent="0.25">
      <c r="B3" s="337"/>
      <c r="C3" s="19"/>
      <c r="D3" s="35"/>
      <c r="E3" s="35"/>
      <c r="F3" s="35"/>
      <c r="G3" s="35"/>
      <c r="H3" s="207"/>
      <c r="I3" s="1"/>
      <c r="J3" s="1"/>
    </row>
    <row r="4" spans="2:10" x14ac:dyDescent="0.25">
      <c r="B4" s="307"/>
      <c r="C4" s="234" t="s">
        <v>319</v>
      </c>
      <c r="D4" s="35"/>
      <c r="E4" s="236"/>
      <c r="F4" s="228"/>
      <c r="G4" s="228"/>
      <c r="H4" s="314"/>
      <c r="I4" s="1"/>
      <c r="J4" s="1"/>
    </row>
    <row r="5" spans="2:10" x14ac:dyDescent="0.25">
      <c r="B5" s="334" t="s">
        <v>107</v>
      </c>
      <c r="C5" s="233" t="s">
        <v>318</v>
      </c>
      <c r="D5" s="208">
        <v>4</v>
      </c>
      <c r="E5" s="237" t="s">
        <v>316</v>
      </c>
      <c r="F5" s="230">
        <v>150</v>
      </c>
      <c r="G5" s="230" t="s">
        <v>315</v>
      </c>
      <c r="H5" s="335">
        <v>0.17934039376793354</v>
      </c>
      <c r="I5" s="1"/>
      <c r="J5" s="1"/>
    </row>
    <row r="6" spans="2:10" x14ac:dyDescent="0.25">
      <c r="B6" s="333"/>
      <c r="C6" s="235"/>
      <c r="D6" s="222"/>
      <c r="E6" s="238"/>
      <c r="F6" s="229" t="s">
        <v>345</v>
      </c>
      <c r="G6" s="229"/>
      <c r="H6" s="336">
        <v>0.12149481462882805</v>
      </c>
      <c r="I6" s="1"/>
      <c r="J6" s="1"/>
    </row>
    <row r="7" spans="2:10" x14ac:dyDescent="0.25">
      <c r="B7" s="337"/>
      <c r="C7" s="19"/>
      <c r="D7" s="35"/>
      <c r="E7" s="236"/>
      <c r="F7" s="228"/>
      <c r="G7" s="228"/>
      <c r="H7" s="338"/>
      <c r="I7" s="1"/>
      <c r="J7" s="1"/>
    </row>
    <row r="8" spans="2:10" x14ac:dyDescent="0.25">
      <c r="B8" s="307"/>
      <c r="C8" s="234" t="s">
        <v>320</v>
      </c>
      <c r="D8" s="35"/>
      <c r="E8" s="35"/>
      <c r="F8" s="35"/>
      <c r="G8" s="35"/>
      <c r="H8" s="207"/>
      <c r="I8" s="1"/>
      <c r="J8" s="1"/>
    </row>
    <row r="9" spans="2:10" x14ac:dyDescent="0.25">
      <c r="B9" s="334" t="s">
        <v>66</v>
      </c>
      <c r="C9" s="233" t="s">
        <v>65</v>
      </c>
      <c r="D9" s="208">
        <v>4</v>
      </c>
      <c r="E9" s="237">
        <v>22.55</v>
      </c>
      <c r="F9" s="230">
        <v>197.75</v>
      </c>
      <c r="G9" s="230">
        <v>243.99063333155266</v>
      </c>
      <c r="H9" s="335">
        <v>2.4718705211601636E-2</v>
      </c>
      <c r="I9" s="1"/>
      <c r="J9" s="1"/>
    </row>
    <row r="10" spans="2:10" x14ac:dyDescent="0.25">
      <c r="B10" s="333"/>
      <c r="C10" s="235"/>
      <c r="D10" s="222"/>
      <c r="E10" s="229" t="s">
        <v>346</v>
      </c>
      <c r="F10" s="19" t="s">
        <v>347</v>
      </c>
      <c r="G10" s="229" t="s">
        <v>348</v>
      </c>
      <c r="H10" s="336">
        <v>0.18192224550747227</v>
      </c>
      <c r="I10" s="1"/>
      <c r="J10" s="1"/>
    </row>
    <row r="11" spans="2:10" x14ac:dyDescent="0.25">
      <c r="B11" s="334" t="s">
        <v>66</v>
      </c>
      <c r="C11" s="233" t="s">
        <v>67</v>
      </c>
      <c r="D11" s="208">
        <v>3</v>
      </c>
      <c r="E11" s="237">
        <v>24.033333333333331</v>
      </c>
      <c r="F11" s="230">
        <v>172</v>
      </c>
      <c r="G11" s="230">
        <v>519.01321521449415</v>
      </c>
      <c r="H11" s="339">
        <v>8.6460440927549707E-3</v>
      </c>
      <c r="I11" s="1"/>
      <c r="J11" s="1"/>
    </row>
    <row r="12" spans="2:10" x14ac:dyDescent="0.25">
      <c r="B12" s="333"/>
      <c r="C12" s="235"/>
      <c r="D12" s="222"/>
      <c r="E12" s="238" t="s">
        <v>349</v>
      </c>
      <c r="F12" s="229" t="s">
        <v>350</v>
      </c>
      <c r="G12" s="229" t="s">
        <v>351</v>
      </c>
      <c r="H12" s="336">
        <v>0.45229278880911794</v>
      </c>
      <c r="I12" s="1"/>
      <c r="J12" s="1"/>
    </row>
    <row r="13" spans="2:10" x14ac:dyDescent="0.25">
      <c r="B13" s="337"/>
      <c r="C13" s="19"/>
      <c r="D13" s="35"/>
      <c r="E13" s="236"/>
      <c r="F13" s="228"/>
      <c r="G13" s="228"/>
      <c r="H13" s="207"/>
      <c r="I13" s="1"/>
      <c r="J13" s="1"/>
    </row>
    <row r="14" spans="2:10" x14ac:dyDescent="0.25">
      <c r="B14" s="307"/>
      <c r="C14" s="234" t="s">
        <v>321</v>
      </c>
      <c r="D14" s="35"/>
      <c r="E14" s="236"/>
      <c r="F14" s="228"/>
      <c r="G14" s="228"/>
      <c r="H14" s="207"/>
      <c r="I14" s="1"/>
      <c r="J14" s="1"/>
    </row>
    <row r="15" spans="2:10" x14ac:dyDescent="0.25">
      <c r="B15" s="334" t="s">
        <v>196</v>
      </c>
      <c r="C15" s="233" t="s">
        <v>65</v>
      </c>
      <c r="D15" s="208">
        <v>6</v>
      </c>
      <c r="E15" s="237">
        <v>26.033333333333331</v>
      </c>
      <c r="F15" s="230">
        <v>149.33333333333334</v>
      </c>
      <c r="G15" s="230">
        <v>264.48121686049348</v>
      </c>
      <c r="H15" s="335">
        <v>1.4673753655946182E-2</v>
      </c>
      <c r="I15" s="1"/>
      <c r="J15" s="1"/>
    </row>
    <row r="16" spans="2:10" x14ac:dyDescent="0.25">
      <c r="B16" s="333"/>
      <c r="C16" s="235"/>
      <c r="D16" s="222"/>
      <c r="E16" s="238" t="s">
        <v>352</v>
      </c>
      <c r="F16" s="229" t="s">
        <v>353</v>
      </c>
      <c r="G16" s="229" t="s">
        <v>354</v>
      </c>
      <c r="H16" s="336">
        <v>6.1781179302162981E-2</v>
      </c>
      <c r="I16" s="1"/>
      <c r="J16" s="1"/>
    </row>
    <row r="17" spans="2:10" x14ac:dyDescent="0.25">
      <c r="B17" s="337"/>
      <c r="C17" s="19"/>
      <c r="D17" s="35"/>
      <c r="E17" s="236"/>
      <c r="F17" s="228"/>
      <c r="G17" s="228"/>
      <c r="H17" s="207"/>
      <c r="I17" s="1"/>
      <c r="J17" s="1"/>
    </row>
    <row r="18" spans="2:10" x14ac:dyDescent="0.25">
      <c r="B18" s="307"/>
      <c r="C18" s="234" t="s">
        <v>343</v>
      </c>
      <c r="D18" s="35"/>
      <c r="E18" s="236"/>
      <c r="F18" s="228"/>
      <c r="G18" s="228"/>
      <c r="H18" s="207"/>
      <c r="I18" s="1"/>
      <c r="J18" s="1"/>
    </row>
    <row r="19" spans="2:10" x14ac:dyDescent="0.25">
      <c r="B19" s="334" t="s">
        <v>66</v>
      </c>
      <c r="C19" s="233" t="s">
        <v>67</v>
      </c>
      <c r="D19" s="208">
        <v>5</v>
      </c>
      <c r="E19" s="237">
        <v>23.7</v>
      </c>
      <c r="F19" s="230">
        <v>127.8</v>
      </c>
      <c r="G19" s="230">
        <v>370.3105133088194</v>
      </c>
      <c r="H19" s="335">
        <v>1.1776657761840064E-2</v>
      </c>
      <c r="I19" s="1"/>
      <c r="J19" s="1"/>
    </row>
    <row r="20" spans="2:10" x14ac:dyDescent="0.25">
      <c r="B20" s="333"/>
      <c r="C20" s="235"/>
      <c r="D20" s="222"/>
      <c r="E20" s="238" t="s">
        <v>349</v>
      </c>
      <c r="F20" s="229" t="s">
        <v>355</v>
      </c>
      <c r="G20" s="229" t="s">
        <v>356</v>
      </c>
      <c r="H20" s="336">
        <v>0.25332700445722889</v>
      </c>
      <c r="I20" s="1"/>
      <c r="J20" s="1"/>
    </row>
    <row r="21" spans="2:10" x14ac:dyDescent="0.25">
      <c r="B21" s="337" t="s">
        <v>241</v>
      </c>
      <c r="C21" s="19" t="s">
        <v>65</v>
      </c>
      <c r="D21" s="35">
        <v>3</v>
      </c>
      <c r="E21" s="236">
        <v>26.8</v>
      </c>
      <c r="F21" s="228">
        <v>174.33333333333334</v>
      </c>
      <c r="G21" s="228">
        <v>244.51077315151954</v>
      </c>
      <c r="H21" s="340">
        <v>2.7398725572813188E-2</v>
      </c>
      <c r="I21" s="1"/>
      <c r="J21" s="1"/>
    </row>
    <row r="22" spans="2:10" ht="13.8" thickBot="1" x14ac:dyDescent="0.3">
      <c r="B22" s="341"/>
      <c r="C22" s="203"/>
      <c r="D22" s="204"/>
      <c r="E22" s="204" t="s">
        <v>357</v>
      </c>
      <c r="F22" s="204" t="s">
        <v>358</v>
      </c>
      <c r="G22" s="204" t="s">
        <v>359</v>
      </c>
      <c r="H22" s="342">
        <v>0.70519564838891546</v>
      </c>
      <c r="I22" s="1"/>
      <c r="J22" s="1"/>
    </row>
    <row r="23" spans="2:10" ht="13.8" thickTop="1" x14ac:dyDescent="0.25"/>
  </sheetData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342"/>
  <sheetViews>
    <sheetView zoomScale="75" zoomScaleNormal="75" workbookViewId="0">
      <selection activeCell="M4" sqref="M4:O4"/>
    </sheetView>
  </sheetViews>
  <sheetFormatPr defaultRowHeight="13.2" x14ac:dyDescent="0.25"/>
  <cols>
    <col min="1" max="1" width="8" customWidth="1"/>
    <col min="2" max="2" width="6.5546875" customWidth="1"/>
    <col min="3" max="3" width="9.6640625" style="1" customWidth="1"/>
    <col min="4" max="4" width="9.109375" style="1" customWidth="1"/>
    <col min="6" max="7" width="9.109375" style="2" customWidth="1"/>
    <col min="11" max="11" width="9.109375" style="2" customWidth="1"/>
    <col min="12" max="12" width="9.109375" style="6" customWidth="1"/>
    <col min="13" max="14" width="9.109375" style="2" customWidth="1"/>
    <col min="16" max="16" width="9.109375" style="8" customWidth="1"/>
    <col min="17" max="17" width="12.44140625" style="93" bestFit="1" customWidth="1"/>
    <col min="22" max="46" width="9.109375" style="93" customWidth="1"/>
  </cols>
  <sheetData>
    <row r="1" spans="1:46" ht="15.6" x14ac:dyDescent="0.3">
      <c r="A1" s="71" t="s">
        <v>242</v>
      </c>
    </row>
    <row r="3" spans="1:46" ht="13.8" thickBot="1" x14ac:dyDescent="0.3"/>
    <row r="4" spans="1:46" x14ac:dyDescent="0.25">
      <c r="A4" s="393" t="s">
        <v>21</v>
      </c>
      <c r="B4" s="394" t="s">
        <v>60</v>
      </c>
      <c r="C4" s="389" t="s">
        <v>14</v>
      </c>
      <c r="D4" s="394" t="s">
        <v>3</v>
      </c>
      <c r="E4" s="477" t="s">
        <v>13</v>
      </c>
      <c r="F4" s="477"/>
      <c r="G4" s="477"/>
      <c r="H4" s="477"/>
      <c r="I4" s="476" t="s">
        <v>168</v>
      </c>
      <c r="J4" s="477"/>
      <c r="K4" s="477"/>
      <c r="L4" s="478"/>
      <c r="M4" s="477" t="s">
        <v>30</v>
      </c>
      <c r="N4" s="477"/>
      <c r="O4" s="477"/>
      <c r="P4" s="484" t="s">
        <v>106</v>
      </c>
      <c r="Q4" s="485"/>
      <c r="R4" s="486"/>
    </row>
    <row r="5" spans="1:46" x14ac:dyDescent="0.25">
      <c r="A5" s="395"/>
      <c r="B5" s="396"/>
      <c r="C5" s="397"/>
      <c r="D5" s="398"/>
      <c r="E5" s="397"/>
      <c r="F5" s="399" t="s">
        <v>10</v>
      </c>
      <c r="G5" s="399" t="s">
        <v>11</v>
      </c>
      <c r="H5" s="397" t="s">
        <v>12</v>
      </c>
      <c r="I5" s="400"/>
      <c r="J5" s="397"/>
      <c r="K5" s="399"/>
      <c r="L5" s="401"/>
      <c r="M5" s="399" t="s">
        <v>9</v>
      </c>
      <c r="N5" s="399" t="s">
        <v>15</v>
      </c>
      <c r="O5" s="397" t="s">
        <v>20</v>
      </c>
      <c r="P5" s="400" t="s">
        <v>52</v>
      </c>
      <c r="Q5" s="403" t="s">
        <v>55</v>
      </c>
      <c r="R5" s="404" t="s">
        <v>51</v>
      </c>
    </row>
    <row r="6" spans="1:46" s="66" customFormat="1" x14ac:dyDescent="0.25">
      <c r="A6" s="405"/>
      <c r="B6" s="406" t="s">
        <v>76</v>
      </c>
      <c r="C6" s="407"/>
      <c r="D6" s="406"/>
      <c r="E6" s="407"/>
      <c r="F6" s="408" t="s">
        <v>4</v>
      </c>
      <c r="G6" s="408" t="s">
        <v>4</v>
      </c>
      <c r="H6" s="407" t="s">
        <v>4</v>
      </c>
      <c r="I6" s="409"/>
      <c r="J6" s="407"/>
      <c r="K6" s="407"/>
      <c r="L6" s="410"/>
      <c r="M6" s="408" t="s">
        <v>1</v>
      </c>
      <c r="N6" s="408"/>
      <c r="O6" s="407"/>
      <c r="P6" s="411" t="s">
        <v>54</v>
      </c>
      <c r="Q6" s="412" t="s">
        <v>20</v>
      </c>
      <c r="R6" s="413" t="s">
        <v>20</v>
      </c>
      <c r="V6" s="449"/>
      <c r="W6" s="449"/>
      <c r="X6" s="449"/>
      <c r="Y6" s="449"/>
      <c r="Z6" s="449"/>
      <c r="AA6" s="449"/>
      <c r="AB6" s="449"/>
      <c r="AC6" s="449"/>
      <c r="AD6" s="449"/>
      <c r="AE6" s="449"/>
      <c r="AF6" s="449"/>
      <c r="AG6" s="449"/>
      <c r="AH6" s="449"/>
      <c r="AI6" s="449"/>
      <c r="AJ6" s="449"/>
      <c r="AK6" s="449"/>
      <c r="AL6" s="449"/>
      <c r="AM6" s="449"/>
      <c r="AN6" s="449"/>
      <c r="AO6" s="449"/>
      <c r="AP6" s="449"/>
      <c r="AQ6" s="449"/>
      <c r="AR6" s="449"/>
      <c r="AS6" s="449"/>
      <c r="AT6" s="449"/>
    </row>
    <row r="7" spans="1:46" x14ac:dyDescent="0.25">
      <c r="A7" s="414"/>
      <c r="B7" s="398"/>
      <c r="C7" s="415"/>
      <c r="D7" s="398"/>
      <c r="E7" s="415"/>
      <c r="F7" s="416"/>
      <c r="G7" s="416"/>
      <c r="H7" s="415"/>
      <c r="I7" s="411"/>
      <c r="J7" s="415"/>
      <c r="K7" s="416"/>
      <c r="L7" s="417"/>
      <c r="M7" s="416"/>
      <c r="N7" s="416"/>
      <c r="O7" s="415"/>
      <c r="P7" s="411"/>
      <c r="Q7" s="418"/>
      <c r="R7" s="419"/>
    </row>
    <row r="8" spans="1:46" x14ac:dyDescent="0.25">
      <c r="A8" s="414" t="s">
        <v>37</v>
      </c>
      <c r="B8" s="398">
        <v>10.47</v>
      </c>
      <c r="C8" s="415" t="s">
        <v>66</v>
      </c>
      <c r="D8" s="398" t="s">
        <v>61</v>
      </c>
      <c r="E8" s="415" t="s">
        <v>22</v>
      </c>
      <c r="F8" s="416">
        <v>22.206</v>
      </c>
      <c r="G8" s="416">
        <v>22.31</v>
      </c>
      <c r="H8" s="415">
        <f>G8-F8</f>
        <v>0.1039999999999992</v>
      </c>
      <c r="I8" s="411" t="s">
        <v>164</v>
      </c>
      <c r="J8" s="415" t="s">
        <v>165</v>
      </c>
      <c r="K8" s="416" t="s">
        <v>166</v>
      </c>
      <c r="L8" s="417" t="s">
        <v>167</v>
      </c>
      <c r="M8" s="416">
        <f>60*SUM(H8:H11)/B8</f>
        <v>0.59598853868194379</v>
      </c>
      <c r="N8" s="416">
        <f>100*SUM(H8:H11)/K11</f>
        <v>0.96692245445779967</v>
      </c>
      <c r="O8" s="415">
        <f>1000*SUM(H8:H11)/K11</f>
        <v>9.6692245445779967</v>
      </c>
      <c r="P8" s="411">
        <v>0.36</v>
      </c>
      <c r="Q8" s="418">
        <f>SUM(P8:P12)/K11</f>
        <v>3.3470392654308706E-2</v>
      </c>
      <c r="R8" s="419">
        <v>0.01</v>
      </c>
    </row>
    <row r="9" spans="1:46" x14ac:dyDescent="0.25">
      <c r="A9" s="414"/>
      <c r="B9" s="398"/>
      <c r="C9" s="415" t="s">
        <v>65</v>
      </c>
      <c r="D9" s="398">
        <v>308</v>
      </c>
      <c r="E9" s="415"/>
      <c r="F9" s="416"/>
      <c r="G9" s="416"/>
      <c r="H9" s="415">
        <f>G9-F9</f>
        <v>0</v>
      </c>
      <c r="I9" s="411">
        <v>60</v>
      </c>
      <c r="J9" s="415">
        <v>11.125</v>
      </c>
      <c r="K9" s="416">
        <v>0.22006700000000001</v>
      </c>
      <c r="L9" s="417">
        <f>I9-J9</f>
        <v>48.875</v>
      </c>
      <c r="M9" s="416"/>
      <c r="N9" s="416"/>
      <c r="O9" s="415"/>
      <c r="P9" s="411"/>
      <c r="Q9" s="418"/>
      <c r="R9" s="419"/>
    </row>
    <row r="10" spans="1:46" x14ac:dyDescent="0.25">
      <c r="A10" s="414"/>
      <c r="B10" s="398"/>
      <c r="C10" s="415" t="s">
        <v>230</v>
      </c>
      <c r="D10" s="398"/>
      <c r="E10" s="415"/>
      <c r="F10" s="416"/>
      <c r="G10" s="416"/>
      <c r="H10" s="415">
        <f>G10-F10</f>
        <v>0</v>
      </c>
      <c r="I10" s="420"/>
      <c r="J10" s="418"/>
      <c r="K10" s="421"/>
      <c r="L10" s="422"/>
      <c r="M10" s="416"/>
      <c r="N10" s="416"/>
      <c r="O10" s="415"/>
      <c r="P10" s="411"/>
      <c r="Q10" s="418"/>
      <c r="R10" s="419"/>
    </row>
    <row r="11" spans="1:46" x14ac:dyDescent="0.25">
      <c r="A11" s="414"/>
      <c r="B11" s="398"/>
      <c r="C11" s="415"/>
      <c r="D11" s="398"/>
      <c r="E11" s="415"/>
      <c r="F11" s="416"/>
      <c r="G11" s="416"/>
      <c r="H11" s="415">
        <f>G11-F11</f>
        <v>0</v>
      </c>
      <c r="I11" s="474" t="s">
        <v>18</v>
      </c>
      <c r="J11" s="475"/>
      <c r="K11" s="416">
        <f>(I9-J9)*K9</f>
        <v>10.755774625000001</v>
      </c>
      <c r="L11" s="417" t="s">
        <v>163</v>
      </c>
      <c r="M11" s="416"/>
      <c r="N11" s="416"/>
      <c r="O11" s="415"/>
      <c r="P11" s="411"/>
      <c r="Q11" s="418"/>
      <c r="R11" s="419"/>
    </row>
    <row r="12" spans="1:46" x14ac:dyDescent="0.25">
      <c r="A12" s="414"/>
      <c r="B12" s="398"/>
      <c r="C12" s="415"/>
      <c r="D12" s="398"/>
      <c r="E12" s="415"/>
      <c r="F12" s="416"/>
      <c r="G12" s="416"/>
      <c r="H12" s="415"/>
      <c r="I12" s="411"/>
      <c r="J12" s="415"/>
      <c r="K12" s="416"/>
      <c r="L12" s="417">
        <f>60*L9/B8</f>
        <v>280.08595988538679</v>
      </c>
      <c r="M12" s="416"/>
      <c r="N12" s="416"/>
      <c r="O12" s="415"/>
      <c r="P12" s="411"/>
      <c r="Q12" s="418"/>
      <c r="R12" s="419"/>
    </row>
    <row r="13" spans="1:46" x14ac:dyDescent="0.25">
      <c r="A13" s="414" t="s">
        <v>45</v>
      </c>
      <c r="B13" s="398">
        <v>10.47</v>
      </c>
      <c r="C13" s="415" t="s">
        <v>66</v>
      </c>
      <c r="D13" s="398" t="s">
        <v>61</v>
      </c>
      <c r="E13" s="415" t="s">
        <v>8</v>
      </c>
      <c r="F13" s="416">
        <v>23.315999999999999</v>
      </c>
      <c r="G13" s="416">
        <v>23.402999999999999</v>
      </c>
      <c r="H13" s="415">
        <f>G13-F13</f>
        <v>8.6999999999999744E-2</v>
      </c>
      <c r="I13" s="411" t="s">
        <v>164</v>
      </c>
      <c r="J13" s="415" t="s">
        <v>165</v>
      </c>
      <c r="K13" s="416" t="s">
        <v>166</v>
      </c>
      <c r="L13" s="417" t="s">
        <v>167</v>
      </c>
      <c r="M13" s="416">
        <f>60*SUM(H13:H16)/B13</f>
        <v>0.49856733524355151</v>
      </c>
      <c r="N13" s="416">
        <f>100*SUM(H13:H16)/K16</f>
        <v>0.88590285319142237</v>
      </c>
      <c r="O13" s="415">
        <f>1000*SUM(H13:H16)/K16</f>
        <v>8.8590285319142232</v>
      </c>
      <c r="P13" s="411">
        <v>0.2442</v>
      </c>
      <c r="Q13" s="418">
        <f>SUM(P13:P17)/K16</f>
        <v>2.4866376637855857E-2</v>
      </c>
      <c r="R13" s="419">
        <v>0.01</v>
      </c>
    </row>
    <row r="14" spans="1:46" x14ac:dyDescent="0.25">
      <c r="A14" s="414"/>
      <c r="B14" s="398"/>
      <c r="C14" s="415" t="s">
        <v>65</v>
      </c>
      <c r="D14" s="398">
        <v>308</v>
      </c>
      <c r="E14" s="415"/>
      <c r="F14" s="416"/>
      <c r="G14" s="416"/>
      <c r="H14" s="415">
        <f>G14-F14</f>
        <v>0</v>
      </c>
      <c r="I14" s="411">
        <v>70</v>
      </c>
      <c r="J14" s="415">
        <v>25.375</v>
      </c>
      <c r="K14" s="416">
        <v>0.22006700000000001</v>
      </c>
      <c r="L14" s="417">
        <f>I14-J14</f>
        <v>44.625</v>
      </c>
      <c r="M14" s="416"/>
      <c r="N14" s="416"/>
      <c r="O14" s="415"/>
      <c r="P14" s="411"/>
      <c r="Q14" s="418"/>
      <c r="R14" s="419"/>
    </row>
    <row r="15" spans="1:46" x14ac:dyDescent="0.25">
      <c r="A15" s="414"/>
      <c r="B15" s="398"/>
      <c r="C15" s="415" t="s">
        <v>230</v>
      </c>
      <c r="D15" s="398"/>
      <c r="E15" s="415"/>
      <c r="F15" s="416"/>
      <c r="G15" s="416"/>
      <c r="H15" s="415">
        <f>G15-F15</f>
        <v>0</v>
      </c>
      <c r="I15" s="420"/>
      <c r="J15" s="418"/>
      <c r="K15" s="421"/>
      <c r="L15" s="422"/>
      <c r="M15" s="416"/>
      <c r="N15" s="416"/>
      <c r="O15" s="415"/>
      <c r="P15" s="411"/>
      <c r="Q15" s="418"/>
      <c r="R15" s="419"/>
    </row>
    <row r="16" spans="1:46" x14ac:dyDescent="0.25">
      <c r="A16" s="414"/>
      <c r="B16" s="398"/>
      <c r="C16" s="415"/>
      <c r="D16" s="398"/>
      <c r="E16" s="415"/>
      <c r="F16" s="416"/>
      <c r="G16" s="416"/>
      <c r="H16" s="415">
        <f>G16-F16</f>
        <v>0</v>
      </c>
      <c r="I16" s="474" t="s">
        <v>18</v>
      </c>
      <c r="J16" s="475"/>
      <c r="K16" s="416">
        <f>(I14-J14)*K14</f>
        <v>9.8204898749999998</v>
      </c>
      <c r="L16" s="417" t="s">
        <v>163</v>
      </c>
      <c r="M16" s="416"/>
      <c r="N16" s="416"/>
      <c r="O16" s="415"/>
      <c r="P16" s="411"/>
      <c r="Q16" s="418"/>
      <c r="R16" s="419"/>
    </row>
    <row r="17" spans="1:18" x14ac:dyDescent="0.25">
      <c r="A17" s="414"/>
      <c r="B17" s="398"/>
      <c r="C17" s="415"/>
      <c r="D17" s="398"/>
      <c r="E17" s="415"/>
      <c r="F17" s="416"/>
      <c r="G17" s="416"/>
      <c r="H17" s="415"/>
      <c r="I17" s="411"/>
      <c r="J17" s="415"/>
      <c r="K17" s="416"/>
      <c r="L17" s="417">
        <f>60*L14/B13</f>
        <v>255.73065902578796</v>
      </c>
      <c r="M17" s="416"/>
      <c r="N17" s="416"/>
      <c r="O17" s="415"/>
      <c r="P17" s="411"/>
      <c r="Q17" s="418"/>
      <c r="R17" s="419"/>
    </row>
    <row r="18" spans="1:18" x14ac:dyDescent="0.25">
      <c r="A18" s="414" t="s">
        <v>46</v>
      </c>
      <c r="B18" s="398">
        <v>10.31</v>
      </c>
      <c r="C18" s="415" t="s">
        <v>66</v>
      </c>
      <c r="D18" s="398" t="s">
        <v>61</v>
      </c>
      <c r="E18" s="415" t="s">
        <v>8</v>
      </c>
      <c r="F18" s="416">
        <v>20.399999999999999</v>
      </c>
      <c r="G18" s="416">
        <v>20.495000000000001</v>
      </c>
      <c r="H18" s="415">
        <f>G18-F18</f>
        <v>9.5000000000002416E-2</v>
      </c>
      <c r="I18" s="411" t="s">
        <v>164</v>
      </c>
      <c r="J18" s="415" t="s">
        <v>165</v>
      </c>
      <c r="K18" s="416" t="s">
        <v>166</v>
      </c>
      <c r="L18" s="417" t="s">
        <v>167</v>
      </c>
      <c r="M18" s="416">
        <f>60*SUM(H18:H21)/B18</f>
        <v>0.55286129970903441</v>
      </c>
      <c r="N18" s="416">
        <f>100*SUM(H18:H21)/K21</f>
        <v>1.1360176673467914</v>
      </c>
      <c r="O18" s="415">
        <f>1000*SUM(H18:H21)/K21</f>
        <v>11.360176673467915</v>
      </c>
      <c r="P18" s="411">
        <v>0.21190000000000001</v>
      </c>
      <c r="Q18" s="418">
        <f>SUM(P18:P22)/K21</f>
        <v>2.5339173022187262E-2</v>
      </c>
      <c r="R18" s="419">
        <v>0.01</v>
      </c>
    </row>
    <row r="19" spans="1:18" x14ac:dyDescent="0.25">
      <c r="A19" s="414"/>
      <c r="B19" s="398"/>
      <c r="C19" s="415" t="s">
        <v>65</v>
      </c>
      <c r="D19" s="398">
        <v>308</v>
      </c>
      <c r="E19" s="415"/>
      <c r="F19" s="416"/>
      <c r="G19" s="416"/>
      <c r="H19" s="415">
        <f>G19-F19</f>
        <v>0</v>
      </c>
      <c r="I19" s="411">
        <v>59.75</v>
      </c>
      <c r="J19" s="415">
        <v>21.75</v>
      </c>
      <c r="K19" s="416">
        <v>0.22006700000000001</v>
      </c>
      <c r="L19" s="417">
        <f>I19-J19</f>
        <v>38</v>
      </c>
      <c r="M19" s="416"/>
      <c r="N19" s="416"/>
      <c r="O19" s="415"/>
      <c r="P19" s="411"/>
      <c r="Q19" s="418"/>
      <c r="R19" s="419"/>
    </row>
    <row r="20" spans="1:18" x14ac:dyDescent="0.25">
      <c r="A20" s="414"/>
      <c r="B20" s="398"/>
      <c r="C20" s="415" t="s">
        <v>230</v>
      </c>
      <c r="D20" s="398"/>
      <c r="E20" s="415"/>
      <c r="F20" s="416"/>
      <c r="G20" s="416"/>
      <c r="H20" s="415">
        <f>G20-F20</f>
        <v>0</v>
      </c>
      <c r="I20" s="420"/>
      <c r="J20" s="418"/>
      <c r="K20" s="421"/>
      <c r="L20" s="417"/>
      <c r="M20" s="416"/>
      <c r="N20" s="416"/>
      <c r="O20" s="415"/>
      <c r="P20" s="411"/>
      <c r="Q20" s="418"/>
      <c r="R20" s="419"/>
    </row>
    <row r="21" spans="1:18" x14ac:dyDescent="0.25">
      <c r="A21" s="414"/>
      <c r="B21" s="398"/>
      <c r="C21" s="415"/>
      <c r="D21" s="398"/>
      <c r="E21" s="415"/>
      <c r="F21" s="416"/>
      <c r="G21" s="416"/>
      <c r="H21" s="416">
        <f>G21-F21</f>
        <v>0</v>
      </c>
      <c r="I21" s="474" t="s">
        <v>18</v>
      </c>
      <c r="J21" s="475"/>
      <c r="K21" s="416">
        <f>(I19-J19)*K19</f>
        <v>8.362546</v>
      </c>
      <c r="L21" s="417" t="s">
        <v>163</v>
      </c>
      <c r="M21" s="416"/>
      <c r="N21" s="416"/>
      <c r="O21" s="415"/>
      <c r="P21" s="411"/>
      <c r="Q21" s="418"/>
      <c r="R21" s="419"/>
    </row>
    <row r="22" spans="1:18" x14ac:dyDescent="0.25">
      <c r="A22" s="414"/>
      <c r="B22" s="398"/>
      <c r="C22" s="415"/>
      <c r="D22" s="398"/>
      <c r="E22" s="415"/>
      <c r="F22" s="416"/>
      <c r="G22" s="416"/>
      <c r="H22" s="418"/>
      <c r="I22" s="411"/>
      <c r="J22" s="415"/>
      <c r="K22" s="416"/>
      <c r="L22" s="417">
        <f>60*(I19-J19)/B18</f>
        <v>221.14451988360813</v>
      </c>
      <c r="M22" s="416"/>
      <c r="N22" s="416"/>
      <c r="O22" s="415"/>
      <c r="P22" s="411"/>
      <c r="Q22" s="418"/>
      <c r="R22" s="419"/>
    </row>
    <row r="23" spans="1:18" x14ac:dyDescent="0.25">
      <c r="A23" s="414" t="s">
        <v>97</v>
      </c>
      <c r="B23" s="398">
        <v>12.14</v>
      </c>
      <c r="C23" s="415" t="s">
        <v>66</v>
      </c>
      <c r="D23" s="398" t="s">
        <v>61</v>
      </c>
      <c r="E23" s="415" t="s">
        <v>19</v>
      </c>
      <c r="F23" s="416">
        <v>48.070999999999998</v>
      </c>
      <c r="G23" s="416">
        <v>48.146000000000001</v>
      </c>
      <c r="H23" s="415">
        <f>G23-F23</f>
        <v>7.5000000000002842E-2</v>
      </c>
      <c r="I23" s="411" t="s">
        <v>162</v>
      </c>
      <c r="J23" s="415" t="s">
        <v>169</v>
      </c>
      <c r="K23" s="416" t="s">
        <v>166</v>
      </c>
      <c r="L23" s="417" t="s">
        <v>167</v>
      </c>
      <c r="M23" s="416">
        <f>60*SUM(H23:H26)/B23</f>
        <v>1.0823723228995117</v>
      </c>
      <c r="N23" s="416">
        <f>100*SUM(H23:H26)/K26</f>
        <v>1.7488464879887968</v>
      </c>
      <c r="O23" s="415">
        <f>1000*SUM(H23:H26)/K26</f>
        <v>17.488464879887967</v>
      </c>
      <c r="P23" s="411">
        <v>0.16120000000000001</v>
      </c>
      <c r="Q23" s="418">
        <f>SUM(P23:P27)/K26</f>
        <v>1.2872787847661759E-2</v>
      </c>
      <c r="R23" s="419"/>
    </row>
    <row r="24" spans="1:18" x14ac:dyDescent="0.25">
      <c r="A24" s="414"/>
      <c r="B24" s="398"/>
      <c r="C24" s="415" t="s">
        <v>67</v>
      </c>
      <c r="D24" s="398">
        <v>308</v>
      </c>
      <c r="E24" s="415" t="s">
        <v>8</v>
      </c>
      <c r="F24" s="416">
        <v>18.867000000000001</v>
      </c>
      <c r="G24" s="416">
        <v>19.010999999999999</v>
      </c>
      <c r="H24" s="415">
        <f>G24-F24</f>
        <v>0.14399999999999835</v>
      </c>
      <c r="I24" s="411">
        <v>6.65625</v>
      </c>
      <c r="J24" s="415">
        <f>4+1/2+1/4+1/16</f>
        <v>4.8125</v>
      </c>
      <c r="K24" s="416">
        <v>0.124435</v>
      </c>
      <c r="L24" s="417">
        <f>I24*3.14159*J24</f>
        <v>100.63519060546875</v>
      </c>
      <c r="M24" s="416"/>
      <c r="N24" s="416"/>
      <c r="O24" s="415"/>
      <c r="P24" s="411"/>
      <c r="Q24" s="418"/>
      <c r="R24" s="419"/>
    </row>
    <row r="25" spans="1:18" x14ac:dyDescent="0.25">
      <c r="A25" s="414"/>
      <c r="B25" s="398"/>
      <c r="C25" s="415" t="s">
        <v>230</v>
      </c>
      <c r="D25" s="398"/>
      <c r="E25" s="415"/>
      <c r="F25" s="416"/>
      <c r="G25" s="416"/>
      <c r="H25" s="415">
        <f>G25-F25</f>
        <v>0</v>
      </c>
      <c r="I25" s="423"/>
      <c r="J25" s="415"/>
      <c r="K25" s="421"/>
      <c r="L25" s="417"/>
      <c r="M25" s="416"/>
      <c r="N25" s="416"/>
      <c r="O25" s="415"/>
      <c r="P25" s="411"/>
      <c r="Q25" s="418"/>
      <c r="R25" s="419"/>
    </row>
    <row r="26" spans="1:18" x14ac:dyDescent="0.25">
      <c r="A26" s="414"/>
      <c r="B26" s="398"/>
      <c r="C26" s="415"/>
      <c r="D26" s="398"/>
      <c r="E26" s="415"/>
      <c r="F26" s="416"/>
      <c r="G26" s="416"/>
      <c r="H26" s="415">
        <f>G26-F26</f>
        <v>0</v>
      </c>
      <c r="I26" s="474" t="s">
        <v>18</v>
      </c>
      <c r="J26" s="475"/>
      <c r="K26" s="416">
        <f>L24*K24</f>
        <v>12.522539942991504</v>
      </c>
      <c r="L26" s="417" t="s">
        <v>163</v>
      </c>
      <c r="M26" s="416"/>
      <c r="N26" s="416"/>
      <c r="O26" s="415"/>
      <c r="P26" s="411"/>
      <c r="Q26" s="418"/>
      <c r="R26" s="419"/>
    </row>
    <row r="27" spans="1:18" x14ac:dyDescent="0.25">
      <c r="A27" s="414"/>
      <c r="B27" s="398"/>
      <c r="C27" s="415"/>
      <c r="D27" s="398"/>
      <c r="E27" s="415"/>
      <c r="F27" s="416"/>
      <c r="G27" s="416"/>
      <c r="H27" s="415"/>
      <c r="I27" s="423"/>
      <c r="J27" s="415"/>
      <c r="K27" s="416"/>
      <c r="L27" s="417">
        <f>60*L24/B23</f>
        <v>497.37326493641882</v>
      </c>
      <c r="M27" s="416"/>
      <c r="N27" s="416"/>
      <c r="O27" s="415"/>
      <c r="P27" s="411"/>
      <c r="Q27" s="418"/>
      <c r="R27" s="419"/>
    </row>
    <row r="28" spans="1:18" x14ac:dyDescent="0.25">
      <c r="A28" s="414" t="s">
        <v>99</v>
      </c>
      <c r="B28" s="398">
        <v>20</v>
      </c>
      <c r="C28" s="415" t="s">
        <v>66</v>
      </c>
      <c r="D28" s="398" t="s">
        <v>61</v>
      </c>
      <c r="E28" s="415" t="s">
        <v>19</v>
      </c>
      <c r="F28" s="416">
        <v>48.643000000000001</v>
      </c>
      <c r="G28" s="416">
        <v>48.74</v>
      </c>
      <c r="H28" s="415">
        <f>G28-F28</f>
        <v>9.7000000000001307E-2</v>
      </c>
      <c r="I28" s="411" t="s">
        <v>162</v>
      </c>
      <c r="J28" s="415" t="s">
        <v>169</v>
      </c>
      <c r="K28" s="416" t="s">
        <v>166</v>
      </c>
      <c r="L28" s="417" t="s">
        <v>167</v>
      </c>
      <c r="M28" s="416">
        <f>60*SUM(H28:H31)/B28</f>
        <v>0.54899999999999949</v>
      </c>
      <c r="N28" s="416">
        <f>100*SUM(H28:H31)/K31</f>
        <v>0.56280785851081749</v>
      </c>
      <c r="O28" s="415">
        <f>1000*SUM(H28:H31)/K31</f>
        <v>5.6280785851081747</v>
      </c>
      <c r="P28" s="411">
        <v>0.21199999999999999</v>
      </c>
      <c r="Q28" s="418">
        <f>SUM(P28:P32)/K31</f>
        <v>6.5199598909449954E-3</v>
      </c>
      <c r="R28" s="419"/>
    </row>
    <row r="29" spans="1:18" x14ac:dyDescent="0.25">
      <c r="A29" s="414"/>
      <c r="B29" s="398"/>
      <c r="C29" s="415" t="s">
        <v>67</v>
      </c>
      <c r="D29" s="398">
        <v>308</v>
      </c>
      <c r="E29" s="415" t="s">
        <v>8</v>
      </c>
      <c r="F29" s="416">
        <v>20.082000000000001</v>
      </c>
      <c r="G29" s="416">
        <v>20.167999999999999</v>
      </c>
      <c r="H29" s="415">
        <f>G29-F29</f>
        <v>8.5999999999998522E-2</v>
      </c>
      <c r="I29" s="411">
        <v>6.53125</v>
      </c>
      <c r="J29" s="415">
        <v>12.735106203117125</v>
      </c>
      <c r="K29" s="416">
        <v>0.124435</v>
      </c>
      <c r="L29" s="417">
        <f>I29*3.14159*J29</f>
        <v>261.30540000000008</v>
      </c>
      <c r="M29" s="416"/>
      <c r="N29" s="416"/>
      <c r="O29" s="415"/>
      <c r="P29" s="411"/>
      <c r="Q29" s="418"/>
      <c r="R29" s="419"/>
    </row>
    <row r="30" spans="1:18" x14ac:dyDescent="0.25">
      <c r="A30" s="414"/>
      <c r="B30" s="398"/>
      <c r="C30" s="415" t="s">
        <v>230</v>
      </c>
      <c r="D30" s="398"/>
      <c r="E30" s="415"/>
      <c r="F30" s="416"/>
      <c r="G30" s="416"/>
      <c r="H30" s="415">
        <f>G30-F30</f>
        <v>0</v>
      </c>
      <c r="I30" s="420"/>
      <c r="J30" s="418"/>
      <c r="K30" s="421"/>
      <c r="L30" s="417"/>
      <c r="M30" s="416"/>
      <c r="N30" s="416"/>
      <c r="O30" s="415"/>
      <c r="P30" s="411"/>
      <c r="Q30" s="418"/>
      <c r="R30" s="419"/>
    </row>
    <row r="31" spans="1:18" x14ac:dyDescent="0.25">
      <c r="A31" s="414"/>
      <c r="B31" s="398"/>
      <c r="C31" s="415" t="s">
        <v>323</v>
      </c>
      <c r="D31" s="398"/>
      <c r="E31" s="415"/>
      <c r="F31" s="416"/>
      <c r="G31" s="416"/>
      <c r="H31" s="415">
        <f>G31-F31</f>
        <v>0</v>
      </c>
      <c r="I31" s="474" t="s">
        <v>18</v>
      </c>
      <c r="J31" s="475"/>
      <c r="K31" s="416">
        <f>L29*K29</f>
        <v>32.515537449000007</v>
      </c>
      <c r="L31" s="417" t="s">
        <v>163</v>
      </c>
      <c r="M31" s="416"/>
      <c r="N31" s="416"/>
      <c r="O31" s="415"/>
      <c r="P31" s="411"/>
      <c r="Q31" s="418"/>
      <c r="R31" s="419"/>
    </row>
    <row r="32" spans="1:18" x14ac:dyDescent="0.25">
      <c r="A32" s="414"/>
      <c r="B32" s="398"/>
      <c r="C32" s="415"/>
      <c r="D32" s="398"/>
      <c r="E32" s="415"/>
      <c r="F32" s="416"/>
      <c r="G32" s="416"/>
      <c r="H32" s="415"/>
      <c r="I32" s="411"/>
      <c r="J32" s="415"/>
      <c r="K32" s="416"/>
      <c r="L32" s="417">
        <f>60*L29/B28</f>
        <v>783.91620000000023</v>
      </c>
      <c r="M32" s="416"/>
      <c r="N32" s="416"/>
      <c r="O32" s="415"/>
      <c r="P32" s="411"/>
      <c r="Q32" s="418"/>
      <c r="R32" s="419"/>
    </row>
    <row r="33" spans="1:18" x14ac:dyDescent="0.25">
      <c r="A33" s="414" t="s">
        <v>100</v>
      </c>
      <c r="B33" s="398">
        <v>12</v>
      </c>
      <c r="C33" s="415" t="s">
        <v>66</v>
      </c>
      <c r="D33" s="398" t="s">
        <v>61</v>
      </c>
      <c r="E33" s="415" t="s">
        <v>19</v>
      </c>
      <c r="F33" s="416">
        <v>50.09</v>
      </c>
      <c r="G33" s="416">
        <v>50.091000000000001</v>
      </c>
      <c r="H33" s="415">
        <f>G33-F33</f>
        <v>9.9999999999766942E-4</v>
      </c>
      <c r="I33" s="411" t="s">
        <v>162</v>
      </c>
      <c r="J33" s="415" t="s">
        <v>169</v>
      </c>
      <c r="K33" s="416" t="s">
        <v>166</v>
      </c>
      <c r="L33" s="417" t="s">
        <v>167</v>
      </c>
      <c r="M33" s="416">
        <f>60*SUM(H33:H36)/B33</f>
        <v>0.47499999999997655</v>
      </c>
      <c r="N33" s="416">
        <f>100*SUM(H33:H36)/K36</f>
        <v>0.90200986356411827</v>
      </c>
      <c r="O33" s="415">
        <f>1000*SUM(H33:H36)/K36</f>
        <v>9.0200986356411832</v>
      </c>
      <c r="P33" s="411">
        <v>9.8799999999999999E-2</v>
      </c>
      <c r="Q33" s="418">
        <f>SUM(P33:P37)/K36</f>
        <v>9.3809025810672932E-3</v>
      </c>
      <c r="R33" s="419"/>
    </row>
    <row r="34" spans="1:18" x14ac:dyDescent="0.25">
      <c r="A34" s="414"/>
      <c r="B34" s="398"/>
      <c r="C34" s="415" t="s">
        <v>67</v>
      </c>
      <c r="D34" s="398">
        <v>308</v>
      </c>
      <c r="E34" s="415" t="s">
        <v>8</v>
      </c>
      <c r="F34" s="416">
        <v>23.547000000000001</v>
      </c>
      <c r="G34" s="416">
        <v>23.640999999999998</v>
      </c>
      <c r="H34" s="415">
        <f>G34-F34</f>
        <v>9.3999999999997641E-2</v>
      </c>
      <c r="I34" s="411">
        <v>6.53125</v>
      </c>
      <c r="J34" s="415">
        <v>4.125</v>
      </c>
      <c r="K34" s="416">
        <v>0.124435</v>
      </c>
      <c r="L34" s="417">
        <f>I34*3.14159*J34</f>
        <v>84.6388524609375</v>
      </c>
      <c r="M34" s="416"/>
      <c r="N34" s="416"/>
      <c r="O34" s="415"/>
      <c r="P34" s="411"/>
      <c r="Q34" s="418"/>
      <c r="R34" s="419"/>
    </row>
    <row r="35" spans="1:18" x14ac:dyDescent="0.25">
      <c r="A35" s="414"/>
      <c r="B35" s="398"/>
      <c r="C35" s="415" t="s">
        <v>230</v>
      </c>
      <c r="D35" s="398"/>
      <c r="E35" s="415"/>
      <c r="F35" s="416"/>
      <c r="G35" s="416"/>
      <c r="H35" s="415">
        <f>G35-F35</f>
        <v>0</v>
      </c>
      <c r="I35" s="423"/>
      <c r="J35" s="415"/>
      <c r="K35" s="421"/>
      <c r="L35" s="417"/>
      <c r="M35" s="416"/>
      <c r="N35" s="416"/>
      <c r="O35" s="415"/>
      <c r="P35" s="411"/>
      <c r="Q35" s="418"/>
      <c r="R35" s="419"/>
    </row>
    <row r="36" spans="1:18" x14ac:dyDescent="0.25">
      <c r="A36" s="414"/>
      <c r="B36" s="398"/>
      <c r="C36" s="415" t="s">
        <v>324</v>
      </c>
      <c r="D36" s="398"/>
      <c r="E36" s="415"/>
      <c r="F36" s="416"/>
      <c r="G36" s="416"/>
      <c r="H36" s="415">
        <f>G36-F36</f>
        <v>0</v>
      </c>
      <c r="I36" s="474" t="s">
        <v>18</v>
      </c>
      <c r="J36" s="475"/>
      <c r="K36" s="416">
        <f>L34*K34</f>
        <v>10.532035605976757</v>
      </c>
      <c r="L36" s="417" t="s">
        <v>163</v>
      </c>
      <c r="M36" s="416"/>
      <c r="N36" s="416"/>
      <c r="O36" s="415"/>
      <c r="P36" s="411"/>
      <c r="Q36" s="418"/>
      <c r="R36" s="419"/>
    </row>
    <row r="37" spans="1:18" x14ac:dyDescent="0.25">
      <c r="A37" s="414"/>
      <c r="B37" s="398"/>
      <c r="C37" s="415"/>
      <c r="D37" s="398"/>
      <c r="E37" s="415"/>
      <c r="F37" s="416"/>
      <c r="G37" s="416"/>
      <c r="H37" s="415"/>
      <c r="I37" s="423"/>
      <c r="J37" s="415"/>
      <c r="K37" s="416"/>
      <c r="L37" s="417">
        <f>60*L34/B33</f>
        <v>423.19426230468753</v>
      </c>
      <c r="M37" s="416"/>
      <c r="N37" s="416"/>
      <c r="O37" s="415"/>
      <c r="P37" s="411"/>
      <c r="Q37" s="418"/>
      <c r="R37" s="419"/>
    </row>
    <row r="38" spans="1:18" x14ac:dyDescent="0.25">
      <c r="A38" s="414" t="s">
        <v>101</v>
      </c>
      <c r="B38" s="398">
        <v>60.08</v>
      </c>
      <c r="C38" s="415" t="s">
        <v>107</v>
      </c>
      <c r="D38" s="398" t="s">
        <v>61</v>
      </c>
      <c r="E38" s="415" t="s">
        <v>24</v>
      </c>
      <c r="F38" s="416">
        <v>22.55</v>
      </c>
      <c r="G38" s="416">
        <v>22.597999999999999</v>
      </c>
      <c r="H38" s="415">
        <f>G38-F38</f>
        <v>4.7999999999998266E-2</v>
      </c>
      <c r="I38" s="411" t="s">
        <v>171</v>
      </c>
      <c r="J38" s="415" t="s">
        <v>170</v>
      </c>
      <c r="K38" s="416"/>
      <c r="L38" s="417"/>
      <c r="M38" s="416">
        <f>60*SUM(H38:H41)/B38</f>
        <v>0.24567243675099734</v>
      </c>
      <c r="N38" s="416">
        <f>100*SUM(H38:H41)/K41</f>
        <v>0.48161540856061341</v>
      </c>
      <c r="O38" s="415">
        <f>1000*SUM(H38:H41)/K41</f>
        <v>4.8161540856061338</v>
      </c>
      <c r="P38" s="411">
        <v>4.282</v>
      </c>
      <c r="Q38" s="418">
        <f>SUM(P38:P42)/K41</f>
        <v>0.21496492625998229</v>
      </c>
      <c r="R38" s="419">
        <v>0.33200000000000002</v>
      </c>
    </row>
    <row r="39" spans="1:18" x14ac:dyDescent="0.25">
      <c r="A39" s="414"/>
      <c r="B39" s="398"/>
      <c r="C39" s="415" t="s">
        <v>108</v>
      </c>
      <c r="D39" s="398">
        <v>304</v>
      </c>
      <c r="E39" s="415" t="s">
        <v>23</v>
      </c>
      <c r="F39" s="416">
        <v>24.039000000000001</v>
      </c>
      <c r="G39" s="416">
        <v>24.079000000000001</v>
      </c>
      <c r="H39" s="415">
        <f>G39-F39</f>
        <v>3.9999999999999147E-2</v>
      </c>
      <c r="I39" s="411">
        <v>55.195</v>
      </c>
      <c r="J39" s="415">
        <v>4.1169000000000002</v>
      </c>
      <c r="K39" s="416"/>
      <c r="L39" s="417"/>
      <c r="M39" s="416"/>
      <c r="N39" s="416"/>
      <c r="O39" s="415"/>
      <c r="P39" s="411">
        <v>6.6980000000000004</v>
      </c>
      <c r="Q39" s="418"/>
      <c r="R39" s="419"/>
    </row>
    <row r="40" spans="1:18" x14ac:dyDescent="0.25">
      <c r="A40" s="414"/>
      <c r="B40" s="398"/>
      <c r="C40" s="415" t="s">
        <v>322</v>
      </c>
      <c r="D40" s="398"/>
      <c r="E40" s="415" t="s">
        <v>26</v>
      </c>
      <c r="F40" s="416">
        <v>22.664999999999999</v>
      </c>
      <c r="G40" s="416">
        <v>22.747</v>
      </c>
      <c r="H40" s="415">
        <f>G40-F40</f>
        <v>8.2000000000000739E-2</v>
      </c>
      <c r="I40" s="420"/>
      <c r="J40" s="418"/>
      <c r="K40" s="421"/>
      <c r="L40" s="417"/>
      <c r="M40" s="416"/>
      <c r="N40" s="416"/>
      <c r="O40" s="415"/>
      <c r="P40" s="411"/>
      <c r="Q40" s="418"/>
      <c r="R40" s="419"/>
    </row>
    <row r="41" spans="1:18" x14ac:dyDescent="0.25">
      <c r="A41" s="414"/>
      <c r="B41" s="398"/>
      <c r="C41" s="415"/>
      <c r="D41" s="398"/>
      <c r="E41" s="415" t="s">
        <v>25</v>
      </c>
      <c r="F41" s="416">
        <v>22.294</v>
      </c>
      <c r="G41" s="416">
        <v>22.37</v>
      </c>
      <c r="H41" s="415">
        <f>G41-F41</f>
        <v>7.6000000000000512E-2</v>
      </c>
      <c r="I41" s="474" t="s">
        <v>18</v>
      </c>
      <c r="J41" s="475"/>
      <c r="K41" s="416">
        <f>I39-J39</f>
        <v>51.078099999999999</v>
      </c>
      <c r="L41" s="417"/>
      <c r="M41" s="416"/>
      <c r="N41" s="416"/>
      <c r="O41" s="415"/>
      <c r="P41" s="411"/>
      <c r="Q41" s="418"/>
      <c r="R41" s="419"/>
    </row>
    <row r="42" spans="1:18" x14ac:dyDescent="0.25">
      <c r="A42" s="414"/>
      <c r="B42" s="398"/>
      <c r="C42" s="415"/>
      <c r="D42" s="398"/>
      <c r="E42" s="415"/>
      <c r="F42" s="416"/>
      <c r="G42" s="416"/>
      <c r="H42" s="415"/>
      <c r="I42" s="411"/>
      <c r="J42" s="415"/>
      <c r="K42" s="416"/>
      <c r="L42" s="417"/>
      <c r="M42" s="416"/>
      <c r="N42" s="416"/>
      <c r="O42" s="415"/>
      <c r="P42" s="411"/>
      <c r="Q42" s="418"/>
      <c r="R42" s="419"/>
    </row>
    <row r="43" spans="1:18" x14ac:dyDescent="0.25">
      <c r="A43" s="414" t="s">
        <v>102</v>
      </c>
      <c r="B43" s="398">
        <v>123.66</v>
      </c>
      <c r="C43" s="415" t="s">
        <v>107</v>
      </c>
      <c r="D43" s="398" t="s">
        <v>61</v>
      </c>
      <c r="E43" s="415" t="s">
        <v>24</v>
      </c>
      <c r="F43" s="416">
        <v>24.724</v>
      </c>
      <c r="G43" s="416">
        <v>24.821999999999999</v>
      </c>
      <c r="H43" s="415">
        <f>G43-F43</f>
        <v>9.7999999999998977E-2</v>
      </c>
      <c r="I43" s="411" t="s">
        <v>171</v>
      </c>
      <c r="J43" s="415" t="s">
        <v>170</v>
      </c>
      <c r="K43" s="416"/>
      <c r="L43" s="417"/>
      <c r="M43" s="416">
        <f>60*SUM(H43:H46)/B43</f>
        <v>0.20232896652110532</v>
      </c>
      <c r="N43" s="416">
        <f>100*SUM(H43:H46)/K46</f>
        <v>0.42503355930441067</v>
      </c>
      <c r="O43" s="415">
        <f>1000*SUM(H43:H46)/K46</f>
        <v>4.2503355930441069</v>
      </c>
      <c r="P43" s="411">
        <v>3.956</v>
      </c>
      <c r="Q43" s="418">
        <f>SUM(P43:P47)/K46</f>
        <v>0.1806749369839333</v>
      </c>
      <c r="R43" s="419">
        <v>0.33200000000000002</v>
      </c>
    </row>
    <row r="44" spans="1:18" x14ac:dyDescent="0.25">
      <c r="A44" s="414"/>
      <c r="B44" s="398"/>
      <c r="C44" s="415" t="s">
        <v>108</v>
      </c>
      <c r="D44" s="398">
        <v>304</v>
      </c>
      <c r="E44" s="415" t="s">
        <v>23</v>
      </c>
      <c r="F44" s="416">
        <v>23.5</v>
      </c>
      <c r="G44" s="416">
        <v>23.593</v>
      </c>
      <c r="H44" s="415">
        <f>G44-F44</f>
        <v>9.2999999999999972E-2</v>
      </c>
      <c r="I44" s="411">
        <v>110.697</v>
      </c>
      <c r="J44" s="415">
        <v>12.5871</v>
      </c>
      <c r="K44" s="416"/>
      <c r="L44" s="417"/>
      <c r="M44" s="416"/>
      <c r="N44" s="416"/>
      <c r="O44" s="415"/>
      <c r="P44" s="411">
        <v>4.4039999999999999</v>
      </c>
      <c r="Q44" s="418"/>
      <c r="R44" s="419"/>
    </row>
    <row r="45" spans="1:18" x14ac:dyDescent="0.25">
      <c r="A45" s="414"/>
      <c r="B45" s="398"/>
      <c r="C45" s="415" t="s">
        <v>322</v>
      </c>
      <c r="D45" s="398"/>
      <c r="E45" s="415" t="s">
        <v>26</v>
      </c>
      <c r="F45" s="416">
        <v>19.957000000000001</v>
      </c>
      <c r="G45" s="416">
        <v>20.059999999999999</v>
      </c>
      <c r="H45" s="415">
        <f>G45-F45</f>
        <v>0.10299999999999798</v>
      </c>
      <c r="I45" s="420"/>
      <c r="J45" s="418"/>
      <c r="K45" s="421"/>
      <c r="L45" s="417"/>
      <c r="M45" s="416"/>
      <c r="N45" s="416"/>
      <c r="O45" s="415"/>
      <c r="P45" s="411">
        <v>4.6340000000000003</v>
      </c>
      <c r="Q45" s="418"/>
      <c r="R45" s="419"/>
    </row>
    <row r="46" spans="1:18" x14ac:dyDescent="0.25">
      <c r="A46" s="414"/>
      <c r="B46" s="398"/>
      <c r="C46" s="415"/>
      <c r="D46" s="398"/>
      <c r="E46" s="415" t="s">
        <v>25</v>
      </c>
      <c r="F46" s="416">
        <v>19.739999999999998</v>
      </c>
      <c r="G46" s="416">
        <v>19.863</v>
      </c>
      <c r="H46" s="415">
        <f>G46-F46</f>
        <v>0.12300000000000111</v>
      </c>
      <c r="I46" s="474" t="s">
        <v>18</v>
      </c>
      <c r="J46" s="475"/>
      <c r="K46" s="416">
        <f>I44-J44</f>
        <v>98.10990000000001</v>
      </c>
      <c r="L46" s="417"/>
      <c r="M46" s="416"/>
      <c r="N46" s="416"/>
      <c r="O46" s="415"/>
      <c r="P46" s="411">
        <v>4.7320000000000002</v>
      </c>
      <c r="Q46" s="418"/>
      <c r="R46" s="419"/>
    </row>
    <row r="47" spans="1:18" x14ac:dyDescent="0.25">
      <c r="A47" s="414"/>
      <c r="B47" s="398"/>
      <c r="C47" s="415"/>
      <c r="D47" s="398"/>
      <c r="E47" s="415"/>
      <c r="F47" s="416"/>
      <c r="G47" s="416"/>
      <c r="H47" s="415"/>
      <c r="I47" s="411"/>
      <c r="J47" s="415"/>
      <c r="K47" s="416"/>
      <c r="L47" s="417"/>
      <c r="M47" s="416"/>
      <c r="N47" s="416"/>
      <c r="O47" s="415"/>
      <c r="P47" s="411"/>
      <c r="Q47" s="418"/>
      <c r="R47" s="419"/>
    </row>
    <row r="48" spans="1:18" x14ac:dyDescent="0.25">
      <c r="A48" s="414" t="s">
        <v>103</v>
      </c>
      <c r="B48" s="398">
        <v>128</v>
      </c>
      <c r="C48" s="415" t="s">
        <v>107</v>
      </c>
      <c r="D48" s="398" t="s">
        <v>61</v>
      </c>
      <c r="E48" s="415" t="s">
        <v>24</v>
      </c>
      <c r="F48" s="416">
        <v>22.231999999999999</v>
      </c>
      <c r="G48" s="416">
        <v>22.35</v>
      </c>
      <c r="H48" s="415">
        <f>G48-F48</f>
        <v>0.1180000000000021</v>
      </c>
      <c r="I48" s="411" t="s">
        <v>171</v>
      </c>
      <c r="J48" s="415" t="s">
        <v>170</v>
      </c>
      <c r="K48" s="416"/>
      <c r="L48" s="417"/>
      <c r="M48" s="416">
        <f>60*SUM(H48:H51)/B48</f>
        <v>0.22218750000000176</v>
      </c>
      <c r="N48" s="416">
        <f>100*SUM(H48:H51)/K51</f>
        <v>0.46741690037512057</v>
      </c>
      <c r="O48" s="415">
        <f>1000*SUM(H48:H51)/K51</f>
        <v>4.6741690037512056</v>
      </c>
      <c r="P48" s="411">
        <v>3.96</v>
      </c>
      <c r="Q48" s="418">
        <f>SUM(P48:P52)/K51</f>
        <v>0.15657480050962247</v>
      </c>
      <c r="R48" s="419">
        <v>0.33200000000000002</v>
      </c>
    </row>
    <row r="49" spans="1:18" x14ac:dyDescent="0.25">
      <c r="A49" s="414"/>
      <c r="B49" s="398"/>
      <c r="C49" s="415" t="s">
        <v>108</v>
      </c>
      <c r="D49" s="398">
        <v>304</v>
      </c>
      <c r="E49" s="415" t="s">
        <v>23</v>
      </c>
      <c r="F49" s="416">
        <v>23.428999999999998</v>
      </c>
      <c r="G49" s="416">
        <v>23.547000000000001</v>
      </c>
      <c r="H49" s="415">
        <f>G49-F49</f>
        <v>0.1180000000000021</v>
      </c>
      <c r="I49" s="411">
        <v>110.78700000000001</v>
      </c>
      <c r="J49" s="415">
        <v>9.3786000000000005</v>
      </c>
      <c r="K49" s="416"/>
      <c r="L49" s="417"/>
      <c r="M49" s="416"/>
      <c r="N49" s="416"/>
      <c r="O49" s="415"/>
      <c r="P49" s="411">
        <v>4.0179999999999998</v>
      </c>
      <c r="Q49" s="418"/>
      <c r="R49" s="419"/>
    </row>
    <row r="50" spans="1:18" x14ac:dyDescent="0.25">
      <c r="A50" s="414"/>
      <c r="B50" s="398"/>
      <c r="C50" s="415" t="s">
        <v>322</v>
      </c>
      <c r="D50" s="398"/>
      <c r="E50" s="415" t="s">
        <v>26</v>
      </c>
      <c r="F50" s="416">
        <v>21.811</v>
      </c>
      <c r="G50" s="416">
        <v>21.931999999999999</v>
      </c>
      <c r="H50" s="415">
        <f>G50-F50</f>
        <v>0.12099999999999866</v>
      </c>
      <c r="I50" s="420"/>
      <c r="J50" s="418"/>
      <c r="K50" s="421"/>
      <c r="L50" s="417"/>
      <c r="M50" s="416"/>
      <c r="N50" s="416"/>
      <c r="O50" s="415"/>
      <c r="P50" s="411">
        <v>4</v>
      </c>
      <c r="Q50" s="418"/>
      <c r="R50" s="419"/>
    </row>
    <row r="51" spans="1:18" x14ac:dyDescent="0.25">
      <c r="A51" s="414"/>
      <c r="B51" s="398"/>
      <c r="C51" s="415"/>
      <c r="D51" s="398"/>
      <c r="E51" s="415" t="s">
        <v>25</v>
      </c>
      <c r="F51" s="416">
        <v>21.738</v>
      </c>
      <c r="G51" s="416">
        <v>21.855</v>
      </c>
      <c r="H51" s="415">
        <f>G51-F51</f>
        <v>0.11700000000000088</v>
      </c>
      <c r="I51" s="474" t="s">
        <v>18</v>
      </c>
      <c r="J51" s="475"/>
      <c r="K51" s="416">
        <f>I49-J49</f>
        <v>101.4084</v>
      </c>
      <c r="L51" s="417"/>
      <c r="M51" s="416"/>
      <c r="N51" s="416"/>
      <c r="O51" s="415"/>
      <c r="P51" s="411">
        <v>3.9</v>
      </c>
      <c r="Q51" s="418"/>
      <c r="R51" s="419"/>
    </row>
    <row r="52" spans="1:18" x14ac:dyDescent="0.25">
      <c r="A52" s="414"/>
      <c r="B52" s="398"/>
      <c r="C52" s="415"/>
      <c r="D52" s="398"/>
      <c r="E52" s="415"/>
      <c r="F52" s="416"/>
      <c r="G52" s="416"/>
      <c r="H52" s="415"/>
      <c r="I52" s="411"/>
      <c r="J52" s="415"/>
      <c r="K52" s="416"/>
      <c r="L52" s="417"/>
      <c r="M52" s="416"/>
      <c r="N52" s="416"/>
      <c r="O52" s="415"/>
      <c r="P52" s="411"/>
      <c r="Q52" s="418"/>
      <c r="R52" s="419"/>
    </row>
    <row r="53" spans="1:18" x14ac:dyDescent="0.25">
      <c r="A53" s="414" t="s">
        <v>135</v>
      </c>
      <c r="B53" s="398">
        <v>59.68</v>
      </c>
      <c r="C53" s="415" t="s">
        <v>66</v>
      </c>
      <c r="D53" s="398" t="s">
        <v>61</v>
      </c>
      <c r="E53" s="415" t="s">
        <v>19</v>
      </c>
      <c r="F53" s="416">
        <v>44.204000000000001</v>
      </c>
      <c r="G53" s="416">
        <v>44.539000000000001</v>
      </c>
      <c r="H53" s="415">
        <f>G53-F53</f>
        <v>0.33500000000000085</v>
      </c>
      <c r="I53" s="411" t="s">
        <v>162</v>
      </c>
      <c r="J53" s="415" t="s">
        <v>169</v>
      </c>
      <c r="K53" s="416" t="s">
        <v>166</v>
      </c>
      <c r="L53" s="417" t="s">
        <v>167</v>
      </c>
      <c r="M53" s="416">
        <f>60*SUM(H53:H56)/B53</f>
        <v>0.44738605898123351</v>
      </c>
      <c r="N53" s="416">
        <f>100*SUM(H53:H56)/K56</f>
        <v>0.53243867037386616</v>
      </c>
      <c r="O53" s="415">
        <f>1000*SUM(H53:H56)/K56</f>
        <v>5.3243867037386616</v>
      </c>
      <c r="P53" s="411">
        <v>0.73</v>
      </c>
      <c r="Q53" s="418">
        <f>SUM(P53:P61)/K56</f>
        <v>8.7343871769195967E-3</v>
      </c>
      <c r="R53" s="419"/>
    </row>
    <row r="54" spans="1:18" x14ac:dyDescent="0.25">
      <c r="A54" s="414"/>
      <c r="B54" s="398"/>
      <c r="C54" s="415" t="s">
        <v>67</v>
      </c>
      <c r="D54" s="398">
        <v>308</v>
      </c>
      <c r="E54" s="415" t="s">
        <v>8</v>
      </c>
      <c r="F54" s="416">
        <v>20.401</v>
      </c>
      <c r="G54" s="416">
        <v>20.510999999999999</v>
      </c>
      <c r="H54" s="415">
        <f>G54-F54</f>
        <v>0.10999999999999943</v>
      </c>
      <c r="I54" s="411">
        <v>6.4101870078740157</v>
      </c>
      <c r="J54" s="415">
        <v>33.352443961794428</v>
      </c>
      <c r="K54" s="416">
        <v>0.124435</v>
      </c>
      <c r="L54" s="417">
        <f>I54*3.14159*J54</f>
        <v>671.65750000000003</v>
      </c>
      <c r="M54" s="416"/>
      <c r="N54" s="416"/>
      <c r="O54" s="415"/>
      <c r="P54" s="411"/>
      <c r="Q54" s="418"/>
      <c r="R54" s="419"/>
    </row>
    <row r="55" spans="1:18" x14ac:dyDescent="0.25">
      <c r="A55" s="414"/>
      <c r="B55" s="398"/>
      <c r="C55" s="415" t="s">
        <v>230</v>
      </c>
      <c r="D55" s="398"/>
      <c r="E55" s="415"/>
      <c r="F55" s="416"/>
      <c r="G55" s="416"/>
      <c r="H55" s="415">
        <f>G55-F55</f>
        <v>0</v>
      </c>
      <c r="I55" s="423"/>
      <c r="J55" s="415"/>
      <c r="K55" s="421"/>
      <c r="L55" s="417"/>
      <c r="M55" s="416"/>
      <c r="N55" s="416"/>
      <c r="O55" s="415"/>
      <c r="P55" s="411"/>
      <c r="Q55" s="418"/>
      <c r="R55" s="419"/>
    </row>
    <row r="56" spans="1:18" x14ac:dyDescent="0.25">
      <c r="A56" s="414"/>
      <c r="B56" s="398"/>
      <c r="C56" s="415"/>
      <c r="D56" s="398"/>
      <c r="E56" s="415"/>
      <c r="F56" s="416"/>
      <c r="G56" s="416"/>
      <c r="H56" s="415">
        <f>G56-F56</f>
        <v>0</v>
      </c>
      <c r="I56" s="474" t="s">
        <v>18</v>
      </c>
      <c r="J56" s="475"/>
      <c r="K56" s="416">
        <f>L54*K54</f>
        <v>83.5777010125</v>
      </c>
      <c r="L56" s="417" t="s">
        <v>163</v>
      </c>
      <c r="M56" s="416"/>
      <c r="N56" s="416"/>
      <c r="O56" s="415"/>
      <c r="P56" s="411"/>
      <c r="Q56" s="418"/>
      <c r="R56" s="419"/>
    </row>
    <row r="57" spans="1:18" ht="13.8" thickBot="1" x14ac:dyDescent="0.3">
      <c r="A57" s="424"/>
      <c r="B57" s="425"/>
      <c r="C57" s="426"/>
      <c r="D57" s="425"/>
      <c r="E57" s="426"/>
      <c r="F57" s="427"/>
      <c r="G57" s="427"/>
      <c r="H57" s="426"/>
      <c r="I57" s="428"/>
      <c r="J57" s="429"/>
      <c r="K57" s="427"/>
      <c r="L57" s="430">
        <f>60*L54/B53</f>
        <v>675.25888069705104</v>
      </c>
      <c r="M57" s="431"/>
      <c r="N57" s="427"/>
      <c r="O57" s="426"/>
      <c r="P57" s="432"/>
      <c r="Q57" s="433"/>
      <c r="R57" s="434"/>
    </row>
    <row r="58" spans="1:18" x14ac:dyDescent="0.25">
      <c r="A58" s="17"/>
      <c r="B58" s="17"/>
      <c r="C58" s="17"/>
      <c r="D58" s="17"/>
      <c r="E58" s="17"/>
      <c r="F58" s="38"/>
      <c r="G58" s="38"/>
      <c r="H58" s="17"/>
      <c r="I58" s="114"/>
      <c r="J58" s="114"/>
      <c r="K58" s="38"/>
      <c r="L58" s="42"/>
      <c r="M58" s="38"/>
      <c r="N58" s="38"/>
      <c r="O58" s="17"/>
      <c r="P58" s="17"/>
      <c r="Q58" s="18"/>
      <c r="R58" s="18"/>
    </row>
    <row r="59" spans="1:18" x14ac:dyDescent="0.25">
      <c r="A59" s="17"/>
      <c r="B59" s="17"/>
      <c r="C59" s="17"/>
      <c r="D59" s="17"/>
      <c r="E59" s="17"/>
      <c r="F59" s="38"/>
      <c r="G59" s="38"/>
      <c r="H59" s="17"/>
      <c r="I59" s="114"/>
      <c r="J59" s="114"/>
      <c r="K59" s="38"/>
      <c r="L59" s="42"/>
      <c r="M59" s="38"/>
      <c r="N59" s="38"/>
      <c r="O59" s="17"/>
      <c r="P59" s="17"/>
      <c r="Q59" s="18"/>
      <c r="R59" s="18"/>
    </row>
    <row r="60" spans="1:18" x14ac:dyDescent="0.25">
      <c r="A60" s="17"/>
      <c r="B60" s="17"/>
      <c r="C60" s="17"/>
      <c r="D60" s="17"/>
      <c r="E60" s="17"/>
      <c r="F60" s="38"/>
      <c r="G60" s="38"/>
      <c r="H60" s="17"/>
      <c r="I60" s="114"/>
      <c r="J60" s="114"/>
      <c r="K60" s="38"/>
      <c r="L60" s="42"/>
      <c r="M60" s="38"/>
      <c r="N60" s="38"/>
      <c r="O60" s="17"/>
      <c r="P60" s="17"/>
      <c r="Q60" s="18"/>
      <c r="R60" s="18"/>
    </row>
    <row r="61" spans="1:18" x14ac:dyDescent="0.25">
      <c r="A61" s="17"/>
      <c r="B61" s="17"/>
      <c r="C61" s="17"/>
      <c r="D61" s="17"/>
      <c r="E61" s="17"/>
      <c r="F61" s="38"/>
      <c r="G61" s="38"/>
      <c r="H61" s="17"/>
      <c r="I61" s="100"/>
      <c r="J61" s="17"/>
      <c r="K61" s="38"/>
      <c r="M61" s="38"/>
      <c r="N61" s="38"/>
      <c r="O61" s="17"/>
      <c r="P61" s="17"/>
      <c r="Q61" s="18"/>
      <c r="R61" s="18"/>
    </row>
    <row r="62" spans="1:18" x14ac:dyDescent="0.25">
      <c r="A62" s="17"/>
      <c r="B62" s="17"/>
      <c r="C62" s="17"/>
      <c r="D62" s="17"/>
      <c r="E62" s="17"/>
      <c r="F62" s="38"/>
      <c r="G62" s="38"/>
      <c r="H62" s="17"/>
      <c r="I62" s="100"/>
      <c r="J62" s="17"/>
      <c r="K62" s="38"/>
      <c r="L62" s="42"/>
      <c r="M62" s="38"/>
      <c r="N62" s="38"/>
      <c r="O62" s="17"/>
      <c r="P62" s="17"/>
      <c r="Q62" s="18"/>
      <c r="R62" s="18"/>
    </row>
    <row r="63" spans="1:18" x14ac:dyDescent="0.25">
      <c r="A63" s="17"/>
      <c r="B63" s="17"/>
      <c r="C63" s="17"/>
      <c r="D63" s="17"/>
      <c r="E63" s="17"/>
      <c r="F63" s="38"/>
      <c r="G63" s="38"/>
      <c r="H63" s="17"/>
      <c r="I63" s="100"/>
      <c r="J63" s="17"/>
      <c r="K63" s="38"/>
      <c r="L63" s="42"/>
      <c r="M63" s="38"/>
      <c r="N63" s="38"/>
      <c r="O63" s="17"/>
      <c r="P63" s="17"/>
      <c r="Q63" s="18"/>
      <c r="R63" s="18"/>
    </row>
    <row r="64" spans="1:18" x14ac:dyDescent="0.25">
      <c r="A64" s="17"/>
      <c r="B64" s="17"/>
      <c r="C64" s="17"/>
      <c r="D64" s="17"/>
      <c r="E64" s="17"/>
      <c r="F64" s="38"/>
      <c r="G64" s="38"/>
      <c r="H64" s="17"/>
      <c r="I64" s="100"/>
      <c r="J64" s="17"/>
      <c r="K64" s="38"/>
      <c r="L64" s="42"/>
      <c r="M64" s="38"/>
      <c r="N64" s="38"/>
      <c r="O64" s="17"/>
      <c r="P64" s="17"/>
      <c r="Q64" s="18"/>
      <c r="R64" s="18"/>
    </row>
    <row r="65" spans="1:21" ht="15.6" x14ac:dyDescent="0.3">
      <c r="A65" s="71" t="s">
        <v>242</v>
      </c>
      <c r="B65" s="17"/>
      <c r="C65" s="17"/>
      <c r="D65" s="17"/>
      <c r="E65" s="17"/>
      <c r="F65" s="38"/>
      <c r="G65" s="38"/>
      <c r="H65" s="17"/>
      <c r="I65" s="100"/>
      <c r="J65" s="17"/>
      <c r="K65" s="38"/>
      <c r="L65" s="42"/>
      <c r="M65" s="38"/>
      <c r="N65" s="38"/>
      <c r="O65" s="17"/>
      <c r="P65" s="17"/>
      <c r="Q65" s="18"/>
      <c r="R65" s="18"/>
    </row>
    <row r="66" spans="1:21" x14ac:dyDescent="0.25">
      <c r="A66" s="17"/>
      <c r="B66" s="17"/>
      <c r="C66" s="17"/>
      <c r="D66" s="17"/>
      <c r="E66" s="17"/>
      <c r="F66" s="38"/>
      <c r="G66" s="38"/>
      <c r="H66" s="17"/>
      <c r="I66" s="100"/>
      <c r="J66" s="17"/>
      <c r="K66" s="38"/>
      <c r="L66" s="42"/>
      <c r="M66" s="38"/>
      <c r="N66" s="38"/>
      <c r="O66" s="17"/>
      <c r="P66" s="17"/>
      <c r="Q66" s="18"/>
      <c r="R66" s="18"/>
    </row>
    <row r="67" spans="1:21" ht="13.8" thickBot="1" x14ac:dyDescent="0.3">
      <c r="A67" s="17"/>
      <c r="B67" s="17"/>
      <c r="C67" s="17"/>
      <c r="D67" s="17"/>
      <c r="E67" s="17"/>
      <c r="F67" s="38"/>
      <c r="G67" s="38"/>
      <c r="H67" s="17"/>
      <c r="I67" s="100"/>
      <c r="J67" s="17"/>
      <c r="K67" s="38"/>
      <c r="L67" s="42"/>
      <c r="M67" s="38"/>
      <c r="N67" s="38"/>
      <c r="O67" s="17"/>
      <c r="P67" s="17"/>
      <c r="Q67" s="18"/>
      <c r="R67" s="18"/>
    </row>
    <row r="68" spans="1:21" x14ac:dyDescent="0.25">
      <c r="A68" s="121" t="s">
        <v>21</v>
      </c>
      <c r="B68" s="122" t="s">
        <v>60</v>
      </c>
      <c r="C68" s="123" t="s">
        <v>14</v>
      </c>
      <c r="D68" s="122" t="s">
        <v>3</v>
      </c>
      <c r="E68" s="469" t="s">
        <v>13</v>
      </c>
      <c r="F68" s="469"/>
      <c r="G68" s="469"/>
      <c r="H68" s="469"/>
      <c r="I68" s="472" t="s">
        <v>168</v>
      </c>
      <c r="J68" s="469"/>
      <c r="K68" s="469"/>
      <c r="L68" s="473"/>
      <c r="M68" s="469" t="s">
        <v>30</v>
      </c>
      <c r="N68" s="469"/>
      <c r="O68" s="469"/>
      <c r="P68" s="470" t="s">
        <v>106</v>
      </c>
      <c r="Q68" s="471"/>
      <c r="R68" s="471"/>
      <c r="S68" s="470" t="s">
        <v>337</v>
      </c>
      <c r="T68" s="471"/>
      <c r="U68" s="480"/>
    </row>
    <row r="69" spans="1:21" x14ac:dyDescent="0.25">
      <c r="A69" s="124"/>
      <c r="B69" s="116"/>
      <c r="C69" s="99"/>
      <c r="D69" s="40"/>
      <c r="E69" s="99"/>
      <c r="F69" s="94" t="s">
        <v>10</v>
      </c>
      <c r="G69" s="94" t="s">
        <v>11</v>
      </c>
      <c r="H69" s="99" t="s">
        <v>12</v>
      </c>
      <c r="I69" s="77"/>
      <c r="J69" s="99"/>
      <c r="K69" s="94"/>
      <c r="L69" s="119"/>
      <c r="M69" s="94" t="s">
        <v>9</v>
      </c>
      <c r="N69" s="94" t="s">
        <v>15</v>
      </c>
      <c r="O69" s="99" t="s">
        <v>20</v>
      </c>
      <c r="P69" s="77" t="s">
        <v>52</v>
      </c>
      <c r="Q69" s="101" t="s">
        <v>55</v>
      </c>
      <c r="R69" s="99" t="s">
        <v>51</v>
      </c>
      <c r="S69" s="77" t="s">
        <v>52</v>
      </c>
      <c r="T69" s="101" t="s">
        <v>55</v>
      </c>
      <c r="U69" s="83" t="s">
        <v>328</v>
      </c>
    </row>
    <row r="70" spans="1:21" x14ac:dyDescent="0.25">
      <c r="A70" s="125"/>
      <c r="B70" s="117" t="s">
        <v>76</v>
      </c>
      <c r="C70" s="92"/>
      <c r="D70" s="117"/>
      <c r="E70" s="92"/>
      <c r="F70" s="95" t="s">
        <v>4</v>
      </c>
      <c r="G70" s="95" t="s">
        <v>4</v>
      </c>
      <c r="H70" s="92" t="s">
        <v>4</v>
      </c>
      <c r="I70" s="91"/>
      <c r="J70" s="92"/>
      <c r="K70" s="92"/>
      <c r="L70" s="120"/>
      <c r="M70" s="95" t="s">
        <v>1</v>
      </c>
      <c r="N70" s="95"/>
      <c r="O70" s="92"/>
      <c r="P70" s="16" t="s">
        <v>54</v>
      </c>
      <c r="Q70" s="72" t="s">
        <v>20</v>
      </c>
      <c r="R70" s="17" t="s">
        <v>20</v>
      </c>
      <c r="S70" s="16" t="s">
        <v>54</v>
      </c>
      <c r="T70" s="72" t="s">
        <v>20</v>
      </c>
      <c r="U70" s="113"/>
    </row>
    <row r="71" spans="1:21" x14ac:dyDescent="0.25">
      <c r="A71" s="53"/>
      <c r="B71" s="40"/>
      <c r="C71" s="17"/>
      <c r="D71" s="40"/>
      <c r="E71" s="17"/>
      <c r="F71" s="38"/>
      <c r="G71" s="38"/>
      <c r="H71" s="17"/>
      <c r="I71" s="39"/>
      <c r="J71" s="17"/>
      <c r="K71" s="38"/>
      <c r="L71" s="34"/>
      <c r="M71" s="38"/>
      <c r="N71" s="38"/>
      <c r="O71" s="17"/>
      <c r="P71" s="16"/>
      <c r="Q71" s="18" t="s">
        <v>279</v>
      </c>
      <c r="R71" s="18"/>
      <c r="S71" s="16"/>
      <c r="T71" s="18"/>
      <c r="U71" s="126"/>
    </row>
    <row r="72" spans="1:21" x14ac:dyDescent="0.25">
      <c r="A72" s="49" t="s">
        <v>132</v>
      </c>
      <c r="B72" s="36">
        <v>60.21</v>
      </c>
      <c r="C72" s="14" t="s">
        <v>64</v>
      </c>
      <c r="D72" s="36" t="s">
        <v>6</v>
      </c>
      <c r="E72" s="14" t="s">
        <v>24</v>
      </c>
      <c r="F72" s="28">
        <v>19.86</v>
      </c>
      <c r="G72" s="28">
        <v>19.978000000000002</v>
      </c>
      <c r="H72" s="14">
        <f>G72-F72</f>
        <v>0.1180000000000021</v>
      </c>
      <c r="I72" s="13" t="s">
        <v>162</v>
      </c>
      <c r="J72" s="14" t="s">
        <v>169</v>
      </c>
      <c r="K72" s="28" t="s">
        <v>166</v>
      </c>
      <c r="L72" s="32" t="s">
        <v>167</v>
      </c>
      <c r="M72" s="28">
        <f>60*SUM(H72:H75)/B72</f>
        <v>0.47433981066267972</v>
      </c>
      <c r="N72" s="28">
        <f>100*SUM(H72:H75)/K75</f>
        <v>0.61911284101581709</v>
      </c>
      <c r="O72" s="14">
        <f>1000*SUM(H72:H75)/K75</f>
        <v>6.1911284101581714</v>
      </c>
      <c r="P72" s="13">
        <v>2.52E-2</v>
      </c>
      <c r="Q72" s="178">
        <f>SUM(P72:P76)/K75</f>
        <v>1.508762385668801E-3</v>
      </c>
      <c r="R72" s="15"/>
      <c r="S72" s="435">
        <v>3.5000000000000001E-3</v>
      </c>
      <c r="T72" s="15">
        <f>SUM(S72:S76)/K75</f>
        <v>1.846933265215256E-4</v>
      </c>
      <c r="U72" s="436">
        <f>(Q72-T72)/T72</f>
        <v>7.1690140845070438</v>
      </c>
    </row>
    <row r="73" spans="1:21" x14ac:dyDescent="0.25">
      <c r="A73" s="49"/>
      <c r="B73" s="36" t="s">
        <v>125</v>
      </c>
      <c r="C73" s="14" t="s">
        <v>65</v>
      </c>
      <c r="D73" s="36" t="s">
        <v>62</v>
      </c>
      <c r="E73" s="14" t="s">
        <v>23</v>
      </c>
      <c r="F73" s="28">
        <v>20.852</v>
      </c>
      <c r="G73" s="28">
        <v>20.978000000000002</v>
      </c>
      <c r="H73" s="14">
        <f>G73-F73</f>
        <v>0.12600000000000122</v>
      </c>
      <c r="I73" s="13">
        <v>10.1751968503937</v>
      </c>
      <c r="J73" s="14">
        <f>11+11/12</f>
        <v>11.916666666666666</v>
      </c>
      <c r="K73" s="28">
        <v>0.20183200000000001</v>
      </c>
      <c r="L73" s="32">
        <f>I73*3.14159*J73</f>
        <v>380.93170202263775</v>
      </c>
      <c r="M73" s="28"/>
      <c r="N73" s="28"/>
      <c r="O73" s="14"/>
      <c r="P73" s="13">
        <v>2.81E-2</v>
      </c>
      <c r="Q73" s="177">
        <f>STDEV(P72:P75)/K75</f>
        <v>6.6022502042648149E-5</v>
      </c>
      <c r="R73" s="15"/>
      <c r="S73" s="435">
        <v>3.0999999999999999E-3</v>
      </c>
      <c r="T73" s="15" t="s">
        <v>335</v>
      </c>
      <c r="U73" s="127"/>
    </row>
    <row r="74" spans="1:21" x14ac:dyDescent="0.25">
      <c r="A74" s="49"/>
      <c r="B74" s="36"/>
      <c r="C74" s="14" t="s">
        <v>230</v>
      </c>
      <c r="D74" s="36" t="s">
        <v>63</v>
      </c>
      <c r="E74" s="14" t="s">
        <v>26</v>
      </c>
      <c r="F74" s="28">
        <v>21.42</v>
      </c>
      <c r="G74" s="28">
        <v>21.550999999999998</v>
      </c>
      <c r="H74" s="14">
        <f>G74-F74</f>
        <v>0.13099999999999667</v>
      </c>
      <c r="I74" s="20"/>
      <c r="J74" s="15"/>
      <c r="K74" s="102"/>
      <c r="L74" s="32"/>
      <c r="M74" s="28"/>
      <c r="N74" s="28"/>
      <c r="O74" s="14"/>
      <c r="P74" s="13">
        <v>3.6400000000000002E-2</v>
      </c>
      <c r="Q74" s="15"/>
      <c r="R74" s="15"/>
      <c r="S74" s="435">
        <v>3.8E-3</v>
      </c>
      <c r="T74" s="15" t="s">
        <v>336</v>
      </c>
      <c r="U74" s="127"/>
    </row>
    <row r="75" spans="1:21" x14ac:dyDescent="0.25">
      <c r="A75" s="49"/>
      <c r="B75" s="36"/>
      <c r="C75" s="14"/>
      <c r="D75" s="36"/>
      <c r="E75" s="14" t="s">
        <v>25</v>
      </c>
      <c r="F75" s="28">
        <v>19.452999999999999</v>
      </c>
      <c r="G75" s="28">
        <v>19.553999999999998</v>
      </c>
      <c r="H75" s="14">
        <f>G75-F75</f>
        <v>0.10099999999999909</v>
      </c>
      <c r="I75" s="459" t="s">
        <v>18</v>
      </c>
      <c r="J75" s="460"/>
      <c r="K75" s="28">
        <f>L73*K73</f>
        <v>76.884207282633028</v>
      </c>
      <c r="L75" s="32" t="s">
        <v>163</v>
      </c>
      <c r="M75" s="28"/>
      <c r="N75" s="28"/>
      <c r="O75" s="14"/>
      <c r="P75" s="13">
        <v>2.63E-2</v>
      </c>
      <c r="Q75" s="15"/>
      <c r="R75" s="15"/>
      <c r="S75" s="435">
        <v>3.8E-3</v>
      </c>
      <c r="T75" s="15"/>
      <c r="U75" s="127"/>
    </row>
    <row r="76" spans="1:21" x14ac:dyDescent="0.25">
      <c r="A76" s="49"/>
      <c r="B76" s="36"/>
      <c r="C76" s="14"/>
      <c r="D76" s="36"/>
      <c r="E76" s="14"/>
      <c r="F76" s="28"/>
      <c r="G76" s="28"/>
      <c r="H76" s="14"/>
      <c r="I76" s="13"/>
      <c r="J76" s="14"/>
      <c r="K76" s="28"/>
      <c r="L76" s="32">
        <f>60*L73/B72</f>
        <v>379.60309120342572</v>
      </c>
      <c r="M76" s="28"/>
      <c r="N76" s="28"/>
      <c r="O76" s="14"/>
      <c r="P76" s="13"/>
      <c r="Q76" s="15"/>
      <c r="R76" s="15"/>
      <c r="S76" s="13"/>
      <c r="T76" s="15"/>
      <c r="U76" s="127"/>
    </row>
    <row r="77" spans="1:21" x14ac:dyDescent="0.25">
      <c r="A77" s="53" t="s">
        <v>133</v>
      </c>
      <c r="B77" s="40">
        <v>80.25</v>
      </c>
      <c r="C77" s="17" t="s">
        <v>64</v>
      </c>
      <c r="D77" s="40" t="s">
        <v>6</v>
      </c>
      <c r="E77" s="17" t="s">
        <v>24</v>
      </c>
      <c r="F77" s="38">
        <v>18.882000000000001</v>
      </c>
      <c r="G77" s="38">
        <v>19.044</v>
      </c>
      <c r="H77" s="17">
        <f>G77-F77</f>
        <v>0.16199999999999903</v>
      </c>
      <c r="I77" s="16" t="s">
        <v>162</v>
      </c>
      <c r="J77" s="17" t="s">
        <v>169</v>
      </c>
      <c r="K77" s="38" t="s">
        <v>166</v>
      </c>
      <c r="L77" s="34" t="s">
        <v>167</v>
      </c>
      <c r="M77" s="38">
        <f>60*SUM(H77:H80)/B77</f>
        <v>0.52112149532710217</v>
      </c>
      <c r="N77" s="38">
        <f>100*SUM(H77:H80)/K80</f>
        <v>0.93245714456606721</v>
      </c>
      <c r="O77" s="17">
        <f>1000*SUM(H77:H80)/K80</f>
        <v>9.3245714456606734</v>
      </c>
      <c r="P77" s="16">
        <v>4.6699999999999998E-2</v>
      </c>
      <c r="Q77" s="179">
        <f>SUM(P77:P81)/K80</f>
        <v>2.1739495838161565E-3</v>
      </c>
      <c r="R77" s="18"/>
      <c r="S77" s="287">
        <v>2.8E-3</v>
      </c>
      <c r="T77" s="15">
        <f>SUM(S77:S81)/K80</f>
        <v>1.5786218516326554E-4</v>
      </c>
      <c r="U77" s="284">
        <f>(Q77-T77)/T77</f>
        <v>12.771186440677964</v>
      </c>
    </row>
    <row r="78" spans="1:21" x14ac:dyDescent="0.25">
      <c r="A78" s="53"/>
      <c r="B78" s="40"/>
      <c r="C78" s="17" t="s">
        <v>65</v>
      </c>
      <c r="D78" s="40" t="s">
        <v>62</v>
      </c>
      <c r="E78" s="17" t="s">
        <v>23</v>
      </c>
      <c r="F78" s="38">
        <v>20.123999999999999</v>
      </c>
      <c r="G78" s="38">
        <v>20.286999999999999</v>
      </c>
      <c r="H78" s="17">
        <f>G78-F78</f>
        <v>0.16300000000000026</v>
      </c>
      <c r="I78" s="16">
        <v>10.214566929133859</v>
      </c>
      <c r="J78" s="17">
        <v>11.541025727612436</v>
      </c>
      <c r="K78" s="38">
        <v>0.20183200000000001</v>
      </c>
      <c r="L78" s="34">
        <f>I78*3.14159*J78</f>
        <v>370.35130000000015</v>
      </c>
      <c r="M78" s="38"/>
      <c r="N78" s="38"/>
      <c r="O78" s="17"/>
      <c r="P78" s="16">
        <v>0.04</v>
      </c>
      <c r="Q78" s="177">
        <f>STDEV(P77:P80)/K80</f>
        <v>5.7056155353787381E-5</v>
      </c>
      <c r="R78" s="18"/>
      <c r="S78" s="287">
        <v>2.7000000000000001E-3</v>
      </c>
      <c r="T78" s="15" t="s">
        <v>335</v>
      </c>
      <c r="U78" s="127"/>
    </row>
    <row r="79" spans="1:21" x14ac:dyDescent="0.25">
      <c r="A79" s="53"/>
      <c r="B79" s="40"/>
      <c r="C79" s="17" t="s">
        <v>230</v>
      </c>
      <c r="D79" s="40" t="s">
        <v>63</v>
      </c>
      <c r="E79" s="17" t="s">
        <v>26</v>
      </c>
      <c r="F79" s="38">
        <v>20.696000000000002</v>
      </c>
      <c r="G79" s="38">
        <v>20.884</v>
      </c>
      <c r="H79" s="17">
        <f>G79-F79</f>
        <v>0.18799999999999883</v>
      </c>
      <c r="I79" s="39"/>
      <c r="J79" s="17"/>
      <c r="K79" s="98"/>
      <c r="L79" s="34"/>
      <c r="M79" s="38"/>
      <c r="N79" s="38"/>
      <c r="O79" s="17"/>
      <c r="P79" s="16">
        <v>3.6799999999999999E-2</v>
      </c>
      <c r="Q79" s="18"/>
      <c r="R79" s="18"/>
      <c r="S79" s="287">
        <v>3.5999999999999999E-3</v>
      </c>
      <c r="T79" s="15" t="s">
        <v>336</v>
      </c>
      <c r="U79" s="127"/>
    </row>
    <row r="80" spans="1:21" x14ac:dyDescent="0.25">
      <c r="A80" s="53"/>
      <c r="B80" s="40"/>
      <c r="C80" s="17"/>
      <c r="D80" s="40"/>
      <c r="E80" s="17" t="s">
        <v>25</v>
      </c>
      <c r="F80" s="38">
        <v>20.245999999999999</v>
      </c>
      <c r="G80" s="38">
        <v>20.43</v>
      </c>
      <c r="H80" s="17">
        <f>G80-F80</f>
        <v>0.18400000000000105</v>
      </c>
      <c r="I80" s="461" t="s">
        <v>18</v>
      </c>
      <c r="J80" s="256"/>
      <c r="K80" s="38">
        <f>L78*K78</f>
        <v>74.748743581600039</v>
      </c>
      <c r="L80" s="34" t="s">
        <v>163</v>
      </c>
      <c r="M80" s="38"/>
      <c r="N80" s="38"/>
      <c r="O80" s="17"/>
      <c r="P80" s="16">
        <v>3.9E-2</v>
      </c>
      <c r="Q80" s="18"/>
      <c r="R80" s="18"/>
      <c r="S80" s="287">
        <v>2.7000000000000001E-3</v>
      </c>
      <c r="T80" s="18"/>
      <c r="U80" s="126"/>
    </row>
    <row r="81" spans="1:21" x14ac:dyDescent="0.25">
      <c r="A81" s="53"/>
      <c r="B81" s="40"/>
      <c r="C81" s="17"/>
      <c r="D81" s="40"/>
      <c r="E81" s="17"/>
      <c r="F81" s="38"/>
      <c r="G81" s="38"/>
      <c r="H81" s="17"/>
      <c r="I81" s="39"/>
      <c r="J81" s="17"/>
      <c r="K81" s="38"/>
      <c r="L81" s="34">
        <f>60*L78/B77</f>
        <v>276.89816822429918</v>
      </c>
      <c r="M81" s="38"/>
      <c r="N81" s="38"/>
      <c r="O81" s="17"/>
      <c r="P81" s="16"/>
      <c r="Q81" s="18"/>
      <c r="R81" s="18"/>
      <c r="S81" s="16"/>
      <c r="T81" s="18"/>
      <c r="U81" s="126"/>
    </row>
    <row r="82" spans="1:21" x14ac:dyDescent="0.25">
      <c r="A82" s="49" t="s">
        <v>134</v>
      </c>
      <c r="B82" s="36">
        <v>63</v>
      </c>
      <c r="C82" s="14" t="s">
        <v>64</v>
      </c>
      <c r="D82" s="36" t="s">
        <v>6</v>
      </c>
      <c r="E82" s="14" t="s">
        <v>24</v>
      </c>
      <c r="F82" s="28">
        <v>19.05</v>
      </c>
      <c r="G82" s="28">
        <v>19.218</v>
      </c>
      <c r="H82" s="14">
        <f>G82-F82</f>
        <v>0.16799999999999926</v>
      </c>
      <c r="I82" s="13" t="s">
        <v>162</v>
      </c>
      <c r="J82" s="14" t="s">
        <v>169</v>
      </c>
      <c r="K82" s="28" t="s">
        <v>166</v>
      </c>
      <c r="L82" s="32" t="s">
        <v>167</v>
      </c>
      <c r="M82" s="28">
        <f>60*SUM(H82:H85)/B82</f>
        <v>0.61142857142856755</v>
      </c>
      <c r="N82" s="28">
        <f>100*SUM(H82:H85)/K85</f>
        <v>1.0912651552741774</v>
      </c>
      <c r="O82" s="14">
        <f>1000*SUM(H82:H85)/K85</f>
        <v>10.912651552741774</v>
      </c>
      <c r="P82" s="13">
        <v>8.2699999999999996E-2</v>
      </c>
      <c r="Q82" s="178">
        <f>SUM(P82:P86)/K85</f>
        <v>4.2375763739852662E-3</v>
      </c>
      <c r="R82" s="15"/>
      <c r="S82" s="435">
        <v>1.9E-3</v>
      </c>
      <c r="T82" s="15">
        <f>SUM(S82:S86)/K85</f>
        <v>1.4958151661079161E-4</v>
      </c>
      <c r="U82" s="436">
        <f>(Q82-T82)/T82</f>
        <v>27.32954545454545</v>
      </c>
    </row>
    <row r="83" spans="1:21" x14ac:dyDescent="0.25">
      <c r="A83" s="49"/>
      <c r="B83" s="36"/>
      <c r="C83" s="14" t="s">
        <v>65</v>
      </c>
      <c r="D83" s="36" t="s">
        <v>62</v>
      </c>
      <c r="E83" s="14" t="s">
        <v>23</v>
      </c>
      <c r="F83" s="28">
        <v>18.93</v>
      </c>
      <c r="G83" s="28">
        <v>19.097999999999999</v>
      </c>
      <c r="H83" s="14">
        <f>G83-F83</f>
        <v>0.16799999999999926</v>
      </c>
      <c r="I83" s="13">
        <v>10.214566929133859</v>
      </c>
      <c r="J83" s="14">
        <f>9+1/12</f>
        <v>9.0833333333333339</v>
      </c>
      <c r="K83" s="28">
        <v>0.20183200000000001</v>
      </c>
      <c r="L83" s="32">
        <f>I83*3.14159*J83</f>
        <v>291.48399697998696</v>
      </c>
      <c r="M83" s="28"/>
      <c r="N83" s="28"/>
      <c r="O83" s="14"/>
      <c r="P83" s="13">
        <v>6.3600000000000004E-2</v>
      </c>
      <c r="Q83" s="177">
        <f>STDEV(P82:P85)/K85</f>
        <v>2.5743214682036699E-4</v>
      </c>
      <c r="R83" s="15"/>
      <c r="S83" s="435">
        <v>1.1000000000000001E-3</v>
      </c>
      <c r="T83" s="15" t="s">
        <v>335</v>
      </c>
      <c r="U83" s="127"/>
    </row>
    <row r="84" spans="1:21" x14ac:dyDescent="0.25">
      <c r="A84" s="49"/>
      <c r="B84" s="36"/>
      <c r="C84" s="14" t="s">
        <v>230</v>
      </c>
      <c r="D84" s="36" t="s">
        <v>63</v>
      </c>
      <c r="E84" s="14" t="s">
        <v>26</v>
      </c>
      <c r="F84" s="28">
        <v>19.302</v>
      </c>
      <c r="G84" s="28">
        <v>19.422999999999998</v>
      </c>
      <c r="H84" s="14">
        <f>G84-F84</f>
        <v>0.12099999999999866</v>
      </c>
      <c r="I84" s="20"/>
      <c r="J84" s="15"/>
      <c r="K84" s="102"/>
      <c r="L84" s="32"/>
      <c r="M84" s="28"/>
      <c r="N84" s="28"/>
      <c r="O84" s="14"/>
      <c r="P84" s="13">
        <v>4.7199999999999999E-2</v>
      </c>
      <c r="Q84" s="15"/>
      <c r="R84" s="14"/>
      <c r="S84" s="435">
        <v>3.3999999999999998E-3</v>
      </c>
      <c r="T84" s="15" t="s">
        <v>336</v>
      </c>
      <c r="U84" s="50"/>
    </row>
    <row r="85" spans="1:21" x14ac:dyDescent="0.25">
      <c r="A85" s="49"/>
      <c r="B85" s="36"/>
      <c r="C85" s="14"/>
      <c r="D85" s="36"/>
      <c r="E85" s="14" t="s">
        <v>25</v>
      </c>
      <c r="F85" s="28">
        <v>18.067</v>
      </c>
      <c r="G85" s="28">
        <v>18.251999999999999</v>
      </c>
      <c r="H85" s="14">
        <f>G85-F85</f>
        <v>0.18499999999999872</v>
      </c>
      <c r="I85" s="459" t="s">
        <v>18</v>
      </c>
      <c r="J85" s="460"/>
      <c r="K85" s="28">
        <f>L83*K83</f>
        <v>58.830798078464731</v>
      </c>
      <c r="L85" s="32" t="s">
        <v>163</v>
      </c>
      <c r="M85" s="28"/>
      <c r="N85" s="28"/>
      <c r="O85" s="14"/>
      <c r="P85" s="13">
        <v>5.5800000000000002E-2</v>
      </c>
      <c r="Q85" s="15"/>
      <c r="R85" s="14"/>
      <c r="S85" s="435">
        <v>2.3999999999999998E-3</v>
      </c>
      <c r="T85" s="15"/>
      <c r="U85" s="50"/>
    </row>
    <row r="86" spans="1:21" x14ac:dyDescent="0.25">
      <c r="A86" s="49"/>
      <c r="B86" s="36"/>
      <c r="C86" s="14"/>
      <c r="D86" s="36"/>
      <c r="E86" s="14"/>
      <c r="F86" s="28"/>
      <c r="G86" s="28"/>
      <c r="H86" s="14"/>
      <c r="I86" s="13"/>
      <c r="J86" s="14"/>
      <c r="K86" s="28"/>
      <c r="L86" s="32">
        <f>60*L83/B82</f>
        <v>277.60380664760663</v>
      </c>
      <c r="M86" s="28"/>
      <c r="N86" s="28"/>
      <c r="O86" s="14"/>
      <c r="P86" s="13"/>
      <c r="Q86" s="15"/>
      <c r="R86" s="14"/>
      <c r="S86" s="13"/>
      <c r="T86" s="15"/>
      <c r="U86" s="50"/>
    </row>
    <row r="87" spans="1:21" x14ac:dyDescent="0.25">
      <c r="A87" s="53">
        <v>31</v>
      </c>
      <c r="B87" s="40">
        <v>83</v>
      </c>
      <c r="C87" s="17" t="s">
        <v>66</v>
      </c>
      <c r="D87" s="40" t="s">
        <v>61</v>
      </c>
      <c r="E87" s="17" t="s">
        <v>19</v>
      </c>
      <c r="F87" s="38">
        <v>45.228000000000002</v>
      </c>
      <c r="G87" s="38">
        <v>45.475000000000001</v>
      </c>
      <c r="H87" s="17">
        <f>G87-F87</f>
        <v>0.24699999999999989</v>
      </c>
      <c r="I87" s="16" t="s">
        <v>162</v>
      </c>
      <c r="J87" s="17" t="s">
        <v>169</v>
      </c>
      <c r="K87" s="38" t="s">
        <v>166</v>
      </c>
      <c r="L87" s="34" t="s">
        <v>167</v>
      </c>
      <c r="M87" s="38">
        <f>60*SUM(H87:H90)/B87</f>
        <v>0.25373493975903549</v>
      </c>
      <c r="N87" s="38">
        <f>100*SUM(H87:H90)/K90</f>
        <v>0.40797015065612929</v>
      </c>
      <c r="O87" s="17">
        <f>1000*SUM(H87:H90)/K90</f>
        <v>4.0797015065612934</v>
      </c>
      <c r="P87" s="16">
        <v>0.71299999999999997</v>
      </c>
      <c r="Q87" s="179">
        <f>SUM(P87:P91)/K90</f>
        <v>8.2872569064906254E-3</v>
      </c>
      <c r="R87" s="17"/>
      <c r="S87" s="21"/>
      <c r="T87" s="12"/>
      <c r="U87" s="133"/>
    </row>
    <row r="88" spans="1:21" x14ac:dyDescent="0.25">
      <c r="A88" s="53"/>
      <c r="B88" s="40"/>
      <c r="C88" s="17" t="s">
        <v>67</v>
      </c>
      <c r="D88" s="40">
        <v>308</v>
      </c>
      <c r="E88" s="17" t="s">
        <v>8</v>
      </c>
      <c r="F88" s="38">
        <v>19.317</v>
      </c>
      <c r="G88" s="38">
        <v>19.420999999999999</v>
      </c>
      <c r="H88" s="17">
        <f>G88-F88</f>
        <v>0.1039999999999992</v>
      </c>
      <c r="I88" s="16">
        <v>6.4101870078740157</v>
      </c>
      <c r="J88" s="17">
        <f>34+1/3</f>
        <v>34.333333333333336</v>
      </c>
      <c r="K88" s="38">
        <v>0.124435</v>
      </c>
      <c r="L88" s="34">
        <f>I88*3.14159*J88</f>
        <v>691.41082613763126</v>
      </c>
      <c r="M88" s="38"/>
      <c r="N88" s="38"/>
      <c r="O88" s="17"/>
      <c r="P88" s="16"/>
      <c r="Q88" s="18"/>
      <c r="R88" s="18"/>
      <c r="S88" s="21"/>
      <c r="T88" s="12"/>
      <c r="U88" s="133"/>
    </row>
    <row r="89" spans="1:21" x14ac:dyDescent="0.25">
      <c r="A89" s="53"/>
      <c r="B89" s="40"/>
      <c r="C89" s="17" t="s">
        <v>230</v>
      </c>
      <c r="D89" s="40"/>
      <c r="E89" s="17"/>
      <c r="F89" s="38"/>
      <c r="G89" s="38"/>
      <c r="H89" s="17">
        <f>G89-F89</f>
        <v>0</v>
      </c>
      <c r="I89" s="39"/>
      <c r="J89" s="17"/>
      <c r="K89" s="98"/>
      <c r="L89" s="34"/>
      <c r="M89" s="38"/>
      <c r="N89" s="38"/>
      <c r="O89" s="17"/>
      <c r="P89" s="16"/>
      <c r="Q89" s="18"/>
      <c r="R89" s="18"/>
      <c r="S89" s="21"/>
      <c r="T89" s="12"/>
      <c r="U89" s="133"/>
    </row>
    <row r="90" spans="1:21" x14ac:dyDescent="0.25">
      <c r="A90" s="53"/>
      <c r="B90" s="40"/>
      <c r="C90" s="17"/>
      <c r="D90" s="40"/>
      <c r="E90" s="17"/>
      <c r="F90" s="38"/>
      <c r="G90" s="38"/>
      <c r="H90" s="17">
        <f>G90-F90</f>
        <v>0</v>
      </c>
      <c r="I90" s="461" t="s">
        <v>18</v>
      </c>
      <c r="J90" s="256"/>
      <c r="K90" s="38">
        <f>L88*K88</f>
        <v>86.035706150436155</v>
      </c>
      <c r="L90" s="34" t="s">
        <v>163</v>
      </c>
      <c r="M90" s="38"/>
      <c r="N90" s="38"/>
      <c r="O90" s="17"/>
      <c r="P90" s="16"/>
      <c r="Q90" s="18"/>
      <c r="R90" s="18"/>
      <c r="S90" s="21"/>
      <c r="T90" s="12"/>
      <c r="U90" s="133"/>
    </row>
    <row r="91" spans="1:21" x14ac:dyDescent="0.25">
      <c r="A91" s="53"/>
      <c r="B91" s="40"/>
      <c r="C91" s="17"/>
      <c r="D91" s="40"/>
      <c r="E91" s="17"/>
      <c r="F91" s="38"/>
      <c r="G91" s="38"/>
      <c r="H91" s="17"/>
      <c r="I91" s="39"/>
      <c r="J91" s="17"/>
      <c r="K91" s="38"/>
      <c r="L91" s="34">
        <f>60*L88/B87</f>
        <v>499.81505503925149</v>
      </c>
      <c r="M91" s="38"/>
      <c r="N91" s="38"/>
      <c r="O91" s="17"/>
      <c r="P91" s="16"/>
      <c r="Q91" s="18"/>
      <c r="R91" s="18"/>
      <c r="S91" s="21"/>
      <c r="T91" s="12"/>
      <c r="U91" s="133"/>
    </row>
    <row r="92" spans="1:21" x14ac:dyDescent="0.25">
      <c r="A92" s="49">
        <v>32</v>
      </c>
      <c r="B92" s="36">
        <v>141</v>
      </c>
      <c r="C92" s="14" t="s">
        <v>107</v>
      </c>
      <c r="D92" s="36" t="s">
        <v>61</v>
      </c>
      <c r="E92" s="14" t="s">
        <v>24</v>
      </c>
      <c r="F92" s="28">
        <v>19.483000000000001</v>
      </c>
      <c r="G92" s="28">
        <v>19.613</v>
      </c>
      <c r="H92" s="14">
        <f>G92-F92</f>
        <v>0.12999999999999901</v>
      </c>
      <c r="I92" s="13" t="s">
        <v>171</v>
      </c>
      <c r="J92" s="14" t="s">
        <v>170</v>
      </c>
      <c r="K92" s="28"/>
      <c r="L92" s="32"/>
      <c r="M92" s="28">
        <f>60*SUM(H92:H95)/B92</f>
        <v>0.20255319148936132</v>
      </c>
      <c r="N92" s="28">
        <f>100*SUM(H92:H95)/K95</f>
        <v>0.48575393909706827</v>
      </c>
      <c r="O92" s="14">
        <f>1000*SUM(H92:H95)/K95</f>
        <v>4.8575393909706825</v>
      </c>
      <c r="P92" s="13">
        <v>4.6319999999999997</v>
      </c>
      <c r="Q92" s="178">
        <f>SUM(P92:P96)/K95</f>
        <v>0.1743815821699731</v>
      </c>
      <c r="R92" s="15"/>
      <c r="S92" s="453">
        <f>(4.579+4.438)/2</f>
        <v>4.5084999999999997</v>
      </c>
      <c r="T92" s="15">
        <f>SUM(S92:S96)/K95</f>
        <v>0.17186607069964893</v>
      </c>
      <c r="U92" s="436">
        <f>(Q92-T92)/T92</f>
        <v>1.4636463497907298E-2</v>
      </c>
    </row>
    <row r="93" spans="1:21" x14ac:dyDescent="0.25">
      <c r="A93" s="49"/>
      <c r="B93" s="36"/>
      <c r="C93" s="14" t="s">
        <v>108</v>
      </c>
      <c r="D93" s="36">
        <v>304</v>
      </c>
      <c r="E93" s="14" t="s">
        <v>23</v>
      </c>
      <c r="F93" s="28">
        <v>20.260999999999999</v>
      </c>
      <c r="G93" s="28">
        <v>20.393000000000001</v>
      </c>
      <c r="H93" s="14">
        <f>G93-F93</f>
        <v>0.13200000000000145</v>
      </c>
      <c r="I93" s="13">
        <f>55.415+55.369</f>
        <v>110.78399999999999</v>
      </c>
      <c r="J93" s="14">
        <v>12.792</v>
      </c>
      <c r="K93" s="28"/>
      <c r="L93" s="32"/>
      <c r="M93" s="28"/>
      <c r="N93" s="28"/>
      <c r="O93" s="14"/>
      <c r="P93" s="13">
        <v>4.3540000000000001</v>
      </c>
      <c r="Q93" s="15"/>
      <c r="R93" s="15"/>
      <c r="S93" s="453">
        <f>(4.397+4.343)/2</f>
        <v>4.37</v>
      </c>
      <c r="T93" s="15"/>
      <c r="U93" s="454"/>
    </row>
    <row r="94" spans="1:21" x14ac:dyDescent="0.25">
      <c r="A94" s="49"/>
      <c r="B94" s="36"/>
      <c r="C94" s="14" t="s">
        <v>322</v>
      </c>
      <c r="D94" s="36"/>
      <c r="E94" s="14" t="s">
        <v>26</v>
      </c>
      <c r="F94" s="28">
        <v>18.603999999999999</v>
      </c>
      <c r="G94" s="28">
        <v>18.690999999999999</v>
      </c>
      <c r="H94" s="14">
        <f>G94-F94</f>
        <v>8.6999999999999744E-2</v>
      </c>
      <c r="I94" s="20"/>
      <c r="J94" s="15"/>
      <c r="K94" s="102"/>
      <c r="L94" s="32"/>
      <c r="M94" s="28"/>
      <c r="N94" s="28"/>
      <c r="O94" s="14"/>
      <c r="P94" s="13">
        <v>3.6139999999999999</v>
      </c>
      <c r="Q94" s="15"/>
      <c r="R94" s="15"/>
      <c r="S94" s="453">
        <f>(3.517+3.509)/2</f>
        <v>3.5129999999999999</v>
      </c>
      <c r="T94" s="15"/>
      <c r="U94" s="454"/>
    </row>
    <row r="95" spans="1:21" x14ac:dyDescent="0.25">
      <c r="A95" s="49"/>
      <c r="B95" s="36"/>
      <c r="C95" s="14"/>
      <c r="D95" s="36"/>
      <c r="E95" s="14" t="s">
        <v>25</v>
      </c>
      <c r="F95" s="28">
        <v>20.498000000000001</v>
      </c>
      <c r="G95" s="28">
        <v>20.625</v>
      </c>
      <c r="H95" s="14">
        <f>G95-F95</f>
        <v>0.12699999999999889</v>
      </c>
      <c r="I95" s="459" t="s">
        <v>18</v>
      </c>
      <c r="J95" s="460"/>
      <c r="K95" s="28">
        <f>I93-J93</f>
        <v>97.99199999999999</v>
      </c>
      <c r="L95" s="32"/>
      <c r="M95" s="28"/>
      <c r="N95" s="28"/>
      <c r="O95" s="14"/>
      <c r="P95" s="13">
        <v>4.4880000000000004</v>
      </c>
      <c r="Q95" s="15"/>
      <c r="R95" s="15"/>
      <c r="S95" s="453">
        <f>(4.521+4.379)/2</f>
        <v>4.4499999999999993</v>
      </c>
      <c r="T95" s="15"/>
      <c r="U95" s="454"/>
    </row>
    <row r="96" spans="1:21" x14ac:dyDescent="0.25">
      <c r="A96" s="53"/>
      <c r="B96" s="40"/>
      <c r="C96" s="17"/>
      <c r="D96" s="40"/>
      <c r="E96" s="17"/>
      <c r="F96" s="38"/>
      <c r="G96" s="38"/>
      <c r="H96" s="17"/>
      <c r="I96" s="16"/>
      <c r="J96" s="17"/>
      <c r="K96" s="38"/>
      <c r="L96" s="34"/>
      <c r="M96" s="38"/>
      <c r="N96" s="38"/>
      <c r="O96" s="17"/>
      <c r="P96" s="16"/>
      <c r="Q96" s="18"/>
      <c r="R96" s="18"/>
      <c r="S96" s="452"/>
      <c r="T96" s="18"/>
      <c r="U96" s="126"/>
    </row>
    <row r="97" spans="1:21" x14ac:dyDescent="0.25">
      <c r="A97" s="53">
        <v>35</v>
      </c>
      <c r="B97" s="40">
        <v>71.03</v>
      </c>
      <c r="C97" s="17" t="s">
        <v>66</v>
      </c>
      <c r="D97" s="40" t="s">
        <v>61</v>
      </c>
      <c r="E97" s="17" t="s">
        <v>24</v>
      </c>
      <c r="F97" s="38">
        <v>15.967000000000001</v>
      </c>
      <c r="G97" s="38">
        <v>16.068000000000001</v>
      </c>
      <c r="H97" s="38">
        <f>G97-F97</f>
        <v>0.10100000000000087</v>
      </c>
      <c r="I97" s="16" t="s">
        <v>162</v>
      </c>
      <c r="J97" s="17" t="s">
        <v>169</v>
      </c>
      <c r="K97" s="38" t="s">
        <v>166</v>
      </c>
      <c r="L97" s="34" t="s">
        <v>167</v>
      </c>
      <c r="M97" s="38">
        <f>60*SUM(H97:H100)/B97</f>
        <v>0.31845699000422112</v>
      </c>
      <c r="N97" s="38">
        <f>100*SUM(H97:H100)/K100</f>
        <v>0.63010317275966909</v>
      </c>
      <c r="O97" s="17">
        <f>1000*SUM(H97:H100)/K100</f>
        <v>6.3010317275966905</v>
      </c>
      <c r="P97" s="16">
        <v>0.34499999999999997</v>
      </c>
      <c r="Q97" s="179">
        <f>SUM(P97:P101)/K100</f>
        <v>2.2354456062760313E-2</v>
      </c>
      <c r="R97" s="18"/>
      <c r="S97" s="287">
        <v>0.30919999999999997</v>
      </c>
      <c r="T97" s="18">
        <f>SUM(S97:S101)/K100</f>
        <v>2.1134362386063865E-2</v>
      </c>
      <c r="U97" s="284">
        <f>(Q97-T97)/T97</f>
        <v>5.7730328192961478E-2</v>
      </c>
    </row>
    <row r="98" spans="1:21" x14ac:dyDescent="0.25">
      <c r="A98" s="53"/>
      <c r="B98" s="40"/>
      <c r="C98" s="17" t="s">
        <v>65</v>
      </c>
      <c r="D98" s="40">
        <v>304</v>
      </c>
      <c r="E98" s="17" t="s">
        <v>23</v>
      </c>
      <c r="F98" s="38">
        <v>17.07</v>
      </c>
      <c r="G98" s="38">
        <v>17.164999999999999</v>
      </c>
      <c r="H98" s="17">
        <f>G98-F98</f>
        <v>9.4999999999998863E-2</v>
      </c>
      <c r="I98" s="16">
        <v>8.375</v>
      </c>
      <c r="J98" s="17">
        <f>10+1/3</f>
        <v>10.333333333333334</v>
      </c>
      <c r="K98" s="38">
        <v>0.22006700000000001</v>
      </c>
      <c r="L98" s="34">
        <f>I98*3.14159*J98</f>
        <v>271.87843458333333</v>
      </c>
      <c r="M98" s="38"/>
      <c r="N98" s="38"/>
      <c r="O98" s="17"/>
      <c r="P98" s="16">
        <v>0.32379999999999998</v>
      </c>
      <c r="Q98" s="18"/>
      <c r="R98" s="18"/>
      <c r="S98" s="287">
        <v>0.32550000000000001</v>
      </c>
      <c r="T98" s="12"/>
      <c r="U98" s="133"/>
    </row>
    <row r="99" spans="1:21" x14ac:dyDescent="0.25">
      <c r="A99" s="53"/>
      <c r="B99" s="40"/>
      <c r="C99" s="17" t="s">
        <v>230</v>
      </c>
      <c r="D99" s="40"/>
      <c r="E99" s="17" t="s">
        <v>26</v>
      </c>
      <c r="F99" s="38">
        <v>17.317</v>
      </c>
      <c r="G99" s="38">
        <v>17.408999999999999</v>
      </c>
      <c r="H99" s="17">
        <f>G99-F99</f>
        <v>9.1999999999998749E-2</v>
      </c>
      <c r="I99" s="39"/>
      <c r="J99" s="17"/>
      <c r="K99" s="98"/>
      <c r="L99" s="34"/>
      <c r="M99" s="38"/>
      <c r="N99" s="38"/>
      <c r="O99" s="17"/>
      <c r="P99" s="16">
        <v>0.34179999999999999</v>
      </c>
      <c r="Q99" s="18"/>
      <c r="R99" s="18"/>
      <c r="S99" s="287">
        <v>0.30780000000000002</v>
      </c>
      <c r="T99" s="12"/>
      <c r="U99" s="133"/>
    </row>
    <row r="100" spans="1:21" x14ac:dyDescent="0.25">
      <c r="A100" s="53"/>
      <c r="B100" s="40"/>
      <c r="C100" s="17"/>
      <c r="D100" s="40"/>
      <c r="E100" s="17" t="s">
        <v>25</v>
      </c>
      <c r="F100" s="38">
        <v>15.335000000000001</v>
      </c>
      <c r="G100" s="38">
        <v>15.423999999999999</v>
      </c>
      <c r="H100" s="17">
        <f>G100-F100</f>
        <v>8.8999999999998636E-2</v>
      </c>
      <c r="I100" s="461" t="s">
        <v>18</v>
      </c>
      <c r="J100" s="256"/>
      <c r="K100" s="38">
        <f>L98*K98</f>
        <v>59.83147146345042</v>
      </c>
      <c r="L100" s="34" t="s">
        <v>163</v>
      </c>
      <c r="M100" s="38"/>
      <c r="N100" s="38"/>
      <c r="O100" s="17"/>
      <c r="P100" s="16">
        <v>0.32690000000000002</v>
      </c>
      <c r="Q100" s="18"/>
      <c r="R100" s="18"/>
      <c r="S100" s="287">
        <v>0.32200000000000001</v>
      </c>
      <c r="T100" s="12"/>
      <c r="U100" s="285"/>
    </row>
    <row r="101" spans="1:21" x14ac:dyDescent="0.25">
      <c r="A101" s="53"/>
      <c r="B101" s="40"/>
      <c r="C101" s="17"/>
      <c r="D101" s="40"/>
      <c r="E101" s="17"/>
      <c r="F101" s="38"/>
      <c r="G101" s="38"/>
      <c r="H101" s="17"/>
      <c r="I101" s="39"/>
      <c r="J101" s="17"/>
      <c r="K101" s="38"/>
      <c r="L101" s="34">
        <f>60*L98/B97</f>
        <v>229.6593844150359</v>
      </c>
      <c r="M101" s="38"/>
      <c r="N101" s="38"/>
      <c r="O101" s="17"/>
      <c r="P101" s="16"/>
      <c r="Q101" s="18"/>
      <c r="R101" s="18"/>
      <c r="S101" s="21"/>
      <c r="T101" s="12"/>
      <c r="U101" s="285"/>
    </row>
    <row r="102" spans="1:21" x14ac:dyDescent="0.25">
      <c r="A102" s="49">
        <v>36</v>
      </c>
      <c r="B102" s="36">
        <v>70</v>
      </c>
      <c r="C102" s="14" t="s">
        <v>66</v>
      </c>
      <c r="D102" s="36" t="s">
        <v>61</v>
      </c>
      <c r="E102" s="14" t="s">
        <v>24</v>
      </c>
      <c r="F102" s="28">
        <v>15.065</v>
      </c>
      <c r="G102" s="28">
        <v>15.19</v>
      </c>
      <c r="H102" s="14">
        <f>G102-F102</f>
        <v>0.125</v>
      </c>
      <c r="I102" s="13" t="s">
        <v>162</v>
      </c>
      <c r="J102" s="14" t="s">
        <v>169</v>
      </c>
      <c r="K102" s="28" t="s">
        <v>166</v>
      </c>
      <c r="L102" s="32" t="s">
        <v>167</v>
      </c>
      <c r="M102" s="28">
        <f>60*SUM(H102:H105)/B102</f>
        <v>0.40714285714285531</v>
      </c>
      <c r="N102" s="28">
        <f>100*SUM(H102:H105)/K105</f>
        <v>0.8789569172874343</v>
      </c>
      <c r="O102" s="14">
        <f>1000*SUM(H102:H105)/K105</f>
        <v>8.7895691728743426</v>
      </c>
      <c r="P102" s="13">
        <v>0.32919999999999999</v>
      </c>
      <c r="Q102" s="178">
        <f>SUM(P102:P106)/K105</f>
        <v>2.4166689136366198E-2</v>
      </c>
      <c r="R102" s="15"/>
      <c r="S102" s="435">
        <v>0.29730000000000001</v>
      </c>
      <c r="T102" s="15">
        <f>SUM(S102:S106)/K105</f>
        <v>2.2319954392254905E-2</v>
      </c>
      <c r="U102" s="436">
        <f>(Q102-T102)/T102</f>
        <v>8.2739180898690159E-2</v>
      </c>
    </row>
    <row r="103" spans="1:21" x14ac:dyDescent="0.25">
      <c r="A103" s="49"/>
      <c r="B103" s="36"/>
      <c r="C103" s="14" t="s">
        <v>65</v>
      </c>
      <c r="D103" s="36">
        <v>304</v>
      </c>
      <c r="E103" s="14" t="s">
        <v>23</v>
      </c>
      <c r="F103" s="28">
        <v>16.038</v>
      </c>
      <c r="G103" s="28">
        <v>16.154</v>
      </c>
      <c r="H103" s="14">
        <f>G103-F103</f>
        <v>0.11599999999999966</v>
      </c>
      <c r="I103" s="13">
        <v>8.375</v>
      </c>
      <c r="J103" s="14">
        <f>9+1/3</f>
        <v>9.3333333333333339</v>
      </c>
      <c r="K103" s="28">
        <v>0.22006700000000001</v>
      </c>
      <c r="L103" s="32">
        <f>I103*3.14159*J103</f>
        <v>245.56761833333334</v>
      </c>
      <c r="M103" s="28"/>
      <c r="N103" s="28"/>
      <c r="O103" s="14"/>
      <c r="P103" s="13">
        <v>0.32650000000000001</v>
      </c>
      <c r="Q103" s="15"/>
      <c r="R103" s="15"/>
      <c r="S103" s="435">
        <v>0.30809999999999998</v>
      </c>
      <c r="T103" s="437"/>
      <c r="U103" s="455"/>
    </row>
    <row r="104" spans="1:21" x14ac:dyDescent="0.25">
      <c r="A104" s="49"/>
      <c r="B104" s="36"/>
      <c r="C104" s="14" t="s">
        <v>230</v>
      </c>
      <c r="D104" s="36"/>
      <c r="E104" s="14" t="s">
        <v>26</v>
      </c>
      <c r="F104" s="28">
        <v>16.872</v>
      </c>
      <c r="G104" s="28">
        <v>16.986999999999998</v>
      </c>
      <c r="H104" s="14">
        <f>G104-F104</f>
        <v>0.11499999999999844</v>
      </c>
      <c r="I104" s="20"/>
      <c r="J104" s="15"/>
      <c r="K104" s="102"/>
      <c r="L104" s="32"/>
      <c r="M104" s="28"/>
      <c r="N104" s="28"/>
      <c r="O104" s="14"/>
      <c r="P104" s="13">
        <v>0.32890000000000003</v>
      </c>
      <c r="Q104" s="15"/>
      <c r="R104" s="15"/>
      <c r="S104" s="435">
        <v>0.2949</v>
      </c>
      <c r="T104" s="437"/>
      <c r="U104" s="127"/>
    </row>
    <row r="105" spans="1:21" x14ac:dyDescent="0.25">
      <c r="A105" s="49"/>
      <c r="B105" s="36"/>
      <c r="C105" s="14"/>
      <c r="D105" s="36"/>
      <c r="E105" s="14" t="s">
        <v>25</v>
      </c>
      <c r="F105" s="28">
        <v>20.219000000000001</v>
      </c>
      <c r="G105" s="28">
        <v>20.338000000000001</v>
      </c>
      <c r="H105" s="14">
        <f>G105-F105</f>
        <v>0.11899999999999977</v>
      </c>
      <c r="I105" s="459" t="s">
        <v>18</v>
      </c>
      <c r="J105" s="460"/>
      <c r="K105" s="28">
        <f>L103*K103</f>
        <v>54.041329063761673</v>
      </c>
      <c r="L105" s="32" t="s">
        <v>163</v>
      </c>
      <c r="M105" s="28"/>
      <c r="N105" s="28"/>
      <c r="O105" s="14"/>
      <c r="P105" s="13">
        <v>0.32140000000000002</v>
      </c>
      <c r="Q105" s="15"/>
      <c r="R105" s="15"/>
      <c r="S105" s="435">
        <v>0.30590000000000001</v>
      </c>
      <c r="T105" s="437"/>
      <c r="U105" s="127"/>
    </row>
    <row r="106" spans="1:21" x14ac:dyDescent="0.25">
      <c r="A106" s="49"/>
      <c r="B106" s="36"/>
      <c r="C106" s="14"/>
      <c r="D106" s="36"/>
      <c r="E106" s="14"/>
      <c r="F106" s="28"/>
      <c r="G106" s="28"/>
      <c r="H106" s="14"/>
      <c r="I106" s="13"/>
      <c r="J106" s="14"/>
      <c r="K106" s="28"/>
      <c r="L106" s="32">
        <f>60*L103/B102</f>
        <v>210.48652999999999</v>
      </c>
      <c r="M106" s="28"/>
      <c r="N106" s="28"/>
      <c r="O106" s="14"/>
      <c r="P106" s="13"/>
      <c r="Q106" s="15"/>
      <c r="R106" s="15"/>
      <c r="S106" s="20"/>
      <c r="T106" s="437"/>
      <c r="U106" s="127"/>
    </row>
    <row r="107" spans="1:21" x14ac:dyDescent="0.25">
      <c r="A107" s="53">
        <v>37</v>
      </c>
      <c r="B107" s="40">
        <v>62.1</v>
      </c>
      <c r="C107" s="17" t="s">
        <v>64</v>
      </c>
      <c r="D107" s="40" t="s">
        <v>6</v>
      </c>
      <c r="E107" s="17" t="s">
        <v>24</v>
      </c>
      <c r="F107" s="38">
        <v>18.224</v>
      </c>
      <c r="G107" s="38">
        <v>18.372</v>
      </c>
      <c r="H107" s="38">
        <f>G107-F107</f>
        <v>0.14799999999999969</v>
      </c>
      <c r="I107" s="16" t="s">
        <v>162</v>
      </c>
      <c r="J107" s="17" t="s">
        <v>169</v>
      </c>
      <c r="K107" s="38" t="s">
        <v>166</v>
      </c>
      <c r="L107" s="34" t="s">
        <v>167</v>
      </c>
      <c r="M107" s="38">
        <f>60*SUM(H107:H110)/B107</f>
        <v>0.64347826086956561</v>
      </c>
      <c r="N107" s="38">
        <f>100*SUM(H107:H110)/K110</f>
        <v>1.0646033156764936</v>
      </c>
      <c r="O107" s="17">
        <f>1000*SUM(H107:H110)/K110</f>
        <v>10.646033156764936</v>
      </c>
      <c r="P107" s="16">
        <v>0.1479</v>
      </c>
      <c r="Q107" s="178">
        <f>SUM(P107:P111)/K110</f>
        <v>9.7189011401097279E-3</v>
      </c>
      <c r="R107" s="18"/>
      <c r="S107" s="287">
        <v>1.1000000000000001E-3</v>
      </c>
      <c r="T107" s="18">
        <f>SUM(S107:S111)/K110</f>
        <v>1.2628177468234679E-4</v>
      </c>
      <c r="U107" s="133"/>
    </row>
    <row r="108" spans="1:21" x14ac:dyDescent="0.25">
      <c r="A108" s="53"/>
      <c r="B108" s="40"/>
      <c r="C108" s="17" t="s">
        <v>65</v>
      </c>
      <c r="D108" s="40" t="s">
        <v>62</v>
      </c>
      <c r="E108" s="17" t="s">
        <v>23</v>
      </c>
      <c r="F108" s="38">
        <v>18.094000000000001</v>
      </c>
      <c r="G108" s="38">
        <v>18.244</v>
      </c>
      <c r="H108" s="17">
        <f>G108-F108</f>
        <v>0.14999999999999858</v>
      </c>
      <c r="I108" s="16">
        <f>(7+7/8)-2*(1+5/8)</f>
        <v>4.625</v>
      </c>
      <c r="J108" s="17">
        <f>21+8.5/12</f>
        <v>21.708333333333332</v>
      </c>
      <c r="K108" s="38">
        <v>0.19833469387755104</v>
      </c>
      <c r="L108" s="34">
        <f>I108*3.14159*J108</f>
        <v>315.41890848958332</v>
      </c>
      <c r="M108" s="38"/>
      <c r="N108" s="38"/>
      <c r="O108" s="17"/>
      <c r="P108" s="16">
        <v>0.1159</v>
      </c>
      <c r="Q108" s="18"/>
      <c r="R108" s="18"/>
      <c r="S108" s="287">
        <v>2.3999999999999998E-3</v>
      </c>
      <c r="T108" s="15" t="s">
        <v>335</v>
      </c>
      <c r="U108" s="127"/>
    </row>
    <row r="109" spans="1:21" x14ac:dyDescent="0.25">
      <c r="A109" s="53"/>
      <c r="B109" s="40"/>
      <c r="C109" s="17" t="s">
        <v>230</v>
      </c>
      <c r="D109" s="40" t="s">
        <v>63</v>
      </c>
      <c r="E109" s="17" t="s">
        <v>26</v>
      </c>
      <c r="F109" s="38">
        <v>18.318999999999999</v>
      </c>
      <c r="G109" s="38">
        <v>18.506</v>
      </c>
      <c r="H109" s="17">
        <f>G109-F109</f>
        <v>0.18700000000000117</v>
      </c>
      <c r="I109" s="39"/>
      <c r="J109" s="17"/>
      <c r="K109" s="98"/>
      <c r="L109" s="34"/>
      <c r="M109" s="38"/>
      <c r="N109" s="38"/>
      <c r="O109" s="17"/>
      <c r="P109" s="16">
        <v>0.2084</v>
      </c>
      <c r="Q109" s="18"/>
      <c r="R109" s="18"/>
      <c r="S109" s="287">
        <v>2.2000000000000001E-3</v>
      </c>
      <c r="T109" s="15" t="s">
        <v>336</v>
      </c>
      <c r="U109" s="127"/>
    </row>
    <row r="110" spans="1:21" x14ac:dyDescent="0.25">
      <c r="A110" s="53"/>
      <c r="B110" s="40"/>
      <c r="C110" s="17"/>
      <c r="D110" s="40"/>
      <c r="E110" s="17" t="s">
        <v>25</v>
      </c>
      <c r="F110" s="38">
        <v>18.558</v>
      </c>
      <c r="G110" s="38">
        <v>18.739000000000001</v>
      </c>
      <c r="H110" s="17">
        <f>G110-F110</f>
        <v>0.18100000000000094</v>
      </c>
      <c r="I110" s="461" t="s">
        <v>18</v>
      </c>
      <c r="J110" s="256"/>
      <c r="K110" s="38">
        <f>L108*K108</f>
        <v>62.558512658472793</v>
      </c>
      <c r="L110" s="34" t="s">
        <v>163</v>
      </c>
      <c r="M110" s="38"/>
      <c r="N110" s="38"/>
      <c r="O110" s="17"/>
      <c r="P110" s="16">
        <v>0.1358</v>
      </c>
      <c r="Q110" s="18"/>
      <c r="R110" s="18"/>
      <c r="S110" s="287">
        <v>2.2000000000000001E-3</v>
      </c>
      <c r="T110" s="18"/>
      <c r="U110" s="133"/>
    </row>
    <row r="111" spans="1:21" x14ac:dyDescent="0.25">
      <c r="A111" s="53"/>
      <c r="B111" s="40"/>
      <c r="C111" s="17"/>
      <c r="D111" s="40"/>
      <c r="E111" s="17"/>
      <c r="F111" s="38"/>
      <c r="G111" s="38"/>
      <c r="H111" s="17"/>
      <c r="I111" s="39"/>
      <c r="J111" s="17"/>
      <c r="K111" s="38"/>
      <c r="L111" s="34">
        <f>60*L108/B107</f>
        <v>304.75256858896938</v>
      </c>
      <c r="M111" s="38"/>
      <c r="N111" s="38"/>
      <c r="O111" s="17"/>
      <c r="P111" s="16"/>
      <c r="Q111" s="18"/>
      <c r="R111" s="18"/>
      <c r="S111" s="21"/>
      <c r="T111" s="18"/>
      <c r="U111" s="133"/>
    </row>
    <row r="112" spans="1:21" x14ac:dyDescent="0.25">
      <c r="A112" s="49">
        <v>38</v>
      </c>
      <c r="B112" s="36">
        <v>76.28</v>
      </c>
      <c r="C112" s="14" t="s">
        <v>64</v>
      </c>
      <c r="D112" s="36" t="s">
        <v>6</v>
      </c>
      <c r="E112" s="14" t="s">
        <v>24</v>
      </c>
      <c r="F112" s="28">
        <v>19.872</v>
      </c>
      <c r="G112" s="28">
        <v>20.032</v>
      </c>
      <c r="H112" s="14">
        <f>G112-F112</f>
        <v>0.16000000000000014</v>
      </c>
      <c r="I112" s="13" t="s">
        <v>162</v>
      </c>
      <c r="J112" s="14" t="s">
        <v>169</v>
      </c>
      <c r="K112" s="28" t="s">
        <v>166</v>
      </c>
      <c r="L112" s="32" t="s">
        <v>167</v>
      </c>
      <c r="M112" s="28">
        <f>60*SUM(H112:H115)/B112</f>
        <v>0.49475616151022372</v>
      </c>
      <c r="N112" s="28">
        <f>100*SUM(H112:H115)/K115</f>
        <v>0.8262523279834092</v>
      </c>
      <c r="O112" s="14">
        <f>1000*SUM(H112:H115)/K115</f>
        <v>8.2625232798340917</v>
      </c>
      <c r="P112" s="435">
        <v>0.12</v>
      </c>
      <c r="Q112" s="178">
        <f>SUM(P112:P116)/K115</f>
        <v>4.895774922725242E-3</v>
      </c>
      <c r="R112" s="15"/>
      <c r="S112" s="435">
        <v>6.9999999999999999E-4</v>
      </c>
      <c r="T112" s="15">
        <f>SUM(S112:S116)/K115</f>
        <v>6.3052641881087093E-5</v>
      </c>
      <c r="U112" s="127"/>
    </row>
    <row r="113" spans="1:21" x14ac:dyDescent="0.25">
      <c r="A113" s="49"/>
      <c r="B113" s="36"/>
      <c r="C113" s="14" t="s">
        <v>65</v>
      </c>
      <c r="D113" s="36" t="s">
        <v>62</v>
      </c>
      <c r="E113" s="14" t="s">
        <v>23</v>
      </c>
      <c r="F113" s="28">
        <v>21.094999999999999</v>
      </c>
      <c r="G113" s="28">
        <v>21.244</v>
      </c>
      <c r="H113" s="14">
        <f>G113-F113</f>
        <v>0.14900000000000091</v>
      </c>
      <c r="I113" s="13">
        <f>(7+7/8)-2*(1+5/8)</f>
        <v>4.625</v>
      </c>
      <c r="J113" s="14">
        <f>26+5/12</f>
        <v>26.416666666666668</v>
      </c>
      <c r="K113" s="28">
        <v>0.19833469387755104</v>
      </c>
      <c r="L113" s="32">
        <f>I113*3.14159*J113</f>
        <v>383.83030322916665</v>
      </c>
      <c r="M113" s="28"/>
      <c r="N113" s="28"/>
      <c r="O113" s="14"/>
      <c r="P113" s="435">
        <v>7.9100000000000004E-2</v>
      </c>
      <c r="Q113" s="15"/>
      <c r="R113" s="15"/>
      <c r="S113" s="435">
        <v>6.9999999999999999E-4</v>
      </c>
      <c r="T113" s="15" t="s">
        <v>335</v>
      </c>
      <c r="U113" s="127"/>
    </row>
    <row r="114" spans="1:21" x14ac:dyDescent="0.25">
      <c r="A114" s="49"/>
      <c r="B114" s="36"/>
      <c r="C114" s="14" t="s">
        <v>230</v>
      </c>
      <c r="D114" s="36" t="s">
        <v>63</v>
      </c>
      <c r="E114" s="14" t="s">
        <v>26</v>
      </c>
      <c r="F114" s="28">
        <v>21.411000000000001</v>
      </c>
      <c r="G114" s="28">
        <v>21.568999999999999</v>
      </c>
      <c r="H114" s="14">
        <f>G114-F114</f>
        <v>0.1579999999999977</v>
      </c>
      <c r="I114" s="20"/>
      <c r="J114" s="15"/>
      <c r="K114" s="102"/>
      <c r="L114" s="32"/>
      <c r="M114" s="28"/>
      <c r="N114" s="28"/>
      <c r="O114" s="14"/>
      <c r="P114" s="435">
        <v>0.1099</v>
      </c>
      <c r="Q114" s="15"/>
      <c r="R114" s="15"/>
      <c r="S114" s="435">
        <v>1.6999999999999999E-3</v>
      </c>
      <c r="T114" s="15" t="s">
        <v>336</v>
      </c>
      <c r="U114" s="127"/>
    </row>
    <row r="115" spans="1:21" x14ac:dyDescent="0.25">
      <c r="A115" s="49"/>
      <c r="B115" s="36"/>
      <c r="C115" s="14"/>
      <c r="D115" s="36"/>
      <c r="E115" s="14" t="s">
        <v>25</v>
      </c>
      <c r="F115" s="28">
        <v>19.738</v>
      </c>
      <c r="G115" s="28">
        <v>19.899999999999999</v>
      </c>
      <c r="H115" s="14">
        <f>G115-F115</f>
        <v>0.16199999999999903</v>
      </c>
      <c r="I115" s="459" t="s">
        <v>18</v>
      </c>
      <c r="J115" s="460"/>
      <c r="K115" s="28">
        <f>L113*K113</f>
        <v>76.126865691884362</v>
      </c>
      <c r="L115" s="32" t="s">
        <v>163</v>
      </c>
      <c r="M115" s="28"/>
      <c r="N115" s="28"/>
      <c r="O115" s="14"/>
      <c r="P115" s="435">
        <v>6.3700000000000007E-2</v>
      </c>
      <c r="Q115" s="15"/>
      <c r="R115" s="15"/>
      <c r="S115" s="435">
        <v>1.6999999999999999E-3</v>
      </c>
      <c r="T115" s="15"/>
      <c r="U115" s="127"/>
    </row>
    <row r="116" spans="1:21" x14ac:dyDescent="0.25">
      <c r="A116" s="49"/>
      <c r="B116" s="36"/>
      <c r="C116" s="14"/>
      <c r="D116" s="36"/>
      <c r="E116" s="14"/>
      <c r="F116" s="28"/>
      <c r="G116" s="28"/>
      <c r="H116" s="14"/>
      <c r="I116" s="13"/>
      <c r="J116" s="14"/>
      <c r="K116" s="28"/>
      <c r="L116" s="32">
        <f>60*L113/B112</f>
        <v>301.91161764223909</v>
      </c>
      <c r="M116" s="28"/>
      <c r="N116" s="28"/>
      <c r="O116" s="14"/>
      <c r="P116" s="13"/>
      <c r="Q116" s="15"/>
      <c r="R116" s="15"/>
      <c r="S116" s="20"/>
      <c r="T116" s="15"/>
      <c r="U116" s="127"/>
    </row>
    <row r="117" spans="1:21" x14ac:dyDescent="0.25">
      <c r="A117" s="53">
        <v>39</v>
      </c>
      <c r="B117" s="40">
        <v>81.19</v>
      </c>
      <c r="C117" s="17" t="s">
        <v>64</v>
      </c>
      <c r="D117" s="40" t="s">
        <v>6</v>
      </c>
      <c r="E117" s="17" t="s">
        <v>24</v>
      </c>
      <c r="F117" s="38">
        <v>19.63</v>
      </c>
      <c r="G117" s="38">
        <v>19.754000000000001</v>
      </c>
      <c r="H117" s="17">
        <f>G117-F117</f>
        <v>0.12400000000000233</v>
      </c>
      <c r="I117" s="16" t="s">
        <v>162</v>
      </c>
      <c r="J117" s="17" t="s">
        <v>169</v>
      </c>
      <c r="K117" s="38" t="s">
        <v>166</v>
      </c>
      <c r="L117" s="34" t="s">
        <v>167</v>
      </c>
      <c r="M117" s="38">
        <f>60*SUM(H117:H120)/B117</f>
        <v>0.36211356078335183</v>
      </c>
      <c r="N117" s="38">
        <f>100*SUM(H117:H120)/K120</f>
        <v>0.60675235072233391</v>
      </c>
      <c r="O117" s="17">
        <f>1000*SUM(H117:H120)/K120</f>
        <v>6.0675235072233393</v>
      </c>
      <c r="P117" s="287">
        <v>2.9100000000000001E-2</v>
      </c>
      <c r="Q117" s="178">
        <f>SUM(P117:P121)/K120</f>
        <v>1.3843859757297174E-3</v>
      </c>
      <c r="R117" s="18"/>
      <c r="S117" s="287">
        <v>0</v>
      </c>
      <c r="T117" s="18">
        <f>SUM(S117:S121)/K120</f>
        <v>2.4765402070299064E-6</v>
      </c>
      <c r="U117" s="133"/>
    </row>
    <row r="118" spans="1:21" x14ac:dyDescent="0.25">
      <c r="A118" s="53"/>
      <c r="B118" s="40"/>
      <c r="C118" s="17" t="s">
        <v>187</v>
      </c>
      <c r="D118" s="40" t="s">
        <v>62</v>
      </c>
      <c r="E118" s="17" t="s">
        <v>23</v>
      </c>
      <c r="F118" s="38">
        <v>20.956</v>
      </c>
      <c r="G118" s="38">
        <v>21.074000000000002</v>
      </c>
      <c r="H118" s="17">
        <f>G118-F118</f>
        <v>0.1180000000000021</v>
      </c>
      <c r="I118" s="16">
        <f>(7+7/8)-2*(1+6/8)</f>
        <v>4.375</v>
      </c>
      <c r="J118" s="17">
        <f>29+7.5/12</f>
        <v>29.625</v>
      </c>
      <c r="K118" s="38">
        <v>0.19833469387755104</v>
      </c>
      <c r="L118" s="34">
        <f>I118*3.14159*J118</f>
        <v>407.17951640624995</v>
      </c>
      <c r="M118" s="38"/>
      <c r="N118" s="38"/>
      <c r="O118" s="17"/>
      <c r="P118" s="16">
        <v>3.0700000000000002E-2</v>
      </c>
      <c r="Q118" s="18"/>
      <c r="R118" s="18"/>
      <c r="S118" s="287">
        <v>0</v>
      </c>
      <c r="T118" s="15" t="s">
        <v>335</v>
      </c>
      <c r="U118" s="127"/>
    </row>
    <row r="119" spans="1:21" x14ac:dyDescent="0.25">
      <c r="A119" s="53"/>
      <c r="B119" s="40"/>
      <c r="C119" s="17" t="s">
        <v>230</v>
      </c>
      <c r="D119" s="40" t="s">
        <v>63</v>
      </c>
      <c r="E119" s="17" t="s">
        <v>26</v>
      </c>
      <c r="F119" s="38">
        <v>20.457000000000001</v>
      </c>
      <c r="G119" s="38">
        <v>20.585000000000001</v>
      </c>
      <c r="H119" s="17">
        <f>G119-F119</f>
        <v>0.12800000000000011</v>
      </c>
      <c r="I119" s="39"/>
      <c r="J119" s="17"/>
      <c r="K119" s="98"/>
      <c r="L119" s="34"/>
      <c r="M119" s="38"/>
      <c r="N119" s="38"/>
      <c r="O119" s="17"/>
      <c r="P119" s="16">
        <v>3.1699999999999999E-2</v>
      </c>
      <c r="Q119" s="18"/>
      <c r="R119" s="18"/>
      <c r="S119" s="287">
        <v>0</v>
      </c>
      <c r="T119" s="15" t="s">
        <v>336</v>
      </c>
      <c r="U119" s="127"/>
    </row>
    <row r="120" spans="1:21" x14ac:dyDescent="0.25">
      <c r="A120" s="53"/>
      <c r="B120" s="40"/>
      <c r="C120" s="17"/>
      <c r="D120" s="40"/>
      <c r="E120" s="17" t="s">
        <v>25</v>
      </c>
      <c r="F120" s="38">
        <v>20.198</v>
      </c>
      <c r="G120" s="38">
        <v>20.318000000000001</v>
      </c>
      <c r="H120" s="17">
        <f>G120-F120</f>
        <v>0.12000000000000099</v>
      </c>
      <c r="I120" s="461" t="s">
        <v>18</v>
      </c>
      <c r="J120" s="256"/>
      <c r="K120" s="38">
        <f>L118*K118</f>
        <v>80.757824739642857</v>
      </c>
      <c r="L120" s="34" t="s">
        <v>163</v>
      </c>
      <c r="M120" s="38"/>
      <c r="N120" s="38"/>
      <c r="O120" s="17"/>
      <c r="P120" s="287">
        <v>2.0299999999999999E-2</v>
      </c>
      <c r="Q120" s="18"/>
      <c r="R120" s="18"/>
      <c r="S120" s="287">
        <v>2.0000000000000001E-4</v>
      </c>
      <c r="T120" s="12"/>
      <c r="U120" s="133"/>
    </row>
    <row r="121" spans="1:21" ht="13.8" thickBot="1" x14ac:dyDescent="0.3">
      <c r="A121" s="54"/>
      <c r="B121" s="55"/>
      <c r="C121" s="58"/>
      <c r="D121" s="55"/>
      <c r="E121" s="58"/>
      <c r="F121" s="60"/>
      <c r="G121" s="60"/>
      <c r="H121" s="58"/>
      <c r="I121" s="130"/>
      <c r="J121" s="58"/>
      <c r="K121" s="60"/>
      <c r="L121" s="61">
        <f>60*L118/B117</f>
        <v>300.90862155899742</v>
      </c>
      <c r="M121" s="60"/>
      <c r="N121" s="60"/>
      <c r="O121" s="58"/>
      <c r="P121" s="57"/>
      <c r="Q121" s="128"/>
      <c r="R121" s="128"/>
      <c r="S121" s="155"/>
      <c r="T121" s="89"/>
      <c r="U121" s="129"/>
    </row>
    <row r="122" spans="1:21" x14ac:dyDescent="0.25">
      <c r="A122" s="17"/>
      <c r="B122" s="17"/>
      <c r="C122" s="17"/>
      <c r="D122" s="17"/>
      <c r="E122" s="17"/>
      <c r="F122" s="38"/>
      <c r="G122" s="38"/>
      <c r="H122" s="17"/>
      <c r="I122" s="100"/>
      <c r="J122" s="17"/>
      <c r="K122" s="38"/>
      <c r="L122" s="42"/>
      <c r="M122" s="38"/>
      <c r="N122" s="38"/>
      <c r="O122" s="17"/>
      <c r="P122" s="17"/>
      <c r="Q122" s="18"/>
      <c r="R122" s="18"/>
    </row>
    <row r="123" spans="1:21" x14ac:dyDescent="0.25">
      <c r="A123" s="17"/>
      <c r="B123" s="17"/>
      <c r="C123" s="17"/>
      <c r="D123" s="17"/>
      <c r="E123" s="17"/>
      <c r="F123" s="38"/>
      <c r="G123" s="38"/>
      <c r="H123" s="17"/>
      <c r="I123" s="100"/>
      <c r="J123" s="17"/>
      <c r="K123" s="38"/>
      <c r="L123" s="42"/>
      <c r="M123" s="38"/>
      <c r="N123" s="38"/>
      <c r="O123" s="17"/>
      <c r="P123" s="17"/>
      <c r="Q123" s="18"/>
      <c r="R123" s="18"/>
    </row>
    <row r="124" spans="1:21" x14ac:dyDescent="0.25">
      <c r="A124" s="17"/>
      <c r="B124" s="17"/>
      <c r="C124" s="17"/>
      <c r="D124" s="17"/>
      <c r="E124" s="17"/>
      <c r="F124" s="38"/>
      <c r="G124" s="38"/>
      <c r="H124" s="17"/>
      <c r="I124" s="100"/>
      <c r="J124" s="17"/>
      <c r="K124" s="38"/>
      <c r="L124" s="42"/>
      <c r="M124" s="38"/>
      <c r="N124" s="38"/>
      <c r="O124" s="17"/>
      <c r="P124" s="17"/>
      <c r="Q124" s="18"/>
      <c r="R124" s="18"/>
    </row>
    <row r="125" spans="1:21" x14ac:dyDescent="0.25">
      <c r="A125" s="17"/>
      <c r="B125" s="17"/>
      <c r="C125" s="17"/>
      <c r="D125" s="17"/>
      <c r="E125" s="17"/>
      <c r="F125" s="38"/>
      <c r="G125" s="38"/>
      <c r="H125" s="17"/>
      <c r="I125" s="100"/>
      <c r="J125" s="17"/>
      <c r="K125" s="38"/>
      <c r="L125" s="42"/>
      <c r="M125" s="38"/>
      <c r="N125" s="38"/>
      <c r="O125" s="17"/>
      <c r="P125" s="17"/>
      <c r="Q125" s="18"/>
      <c r="R125" s="18"/>
    </row>
    <row r="126" spans="1:21" x14ac:dyDescent="0.25">
      <c r="A126" s="17"/>
      <c r="B126" s="17"/>
      <c r="C126" s="17"/>
      <c r="D126" s="17"/>
      <c r="E126" s="17"/>
      <c r="F126" s="38"/>
      <c r="G126" s="38"/>
      <c r="H126" s="17"/>
      <c r="I126" s="100"/>
      <c r="J126" s="17"/>
      <c r="K126" s="38"/>
      <c r="L126" s="42"/>
      <c r="M126" s="38"/>
      <c r="N126" s="38"/>
      <c r="O126" s="17"/>
      <c r="P126" s="17"/>
      <c r="Q126" s="18"/>
      <c r="R126" s="18"/>
    </row>
    <row r="127" spans="1:21" x14ac:dyDescent="0.25">
      <c r="A127" s="17"/>
      <c r="B127" s="17"/>
      <c r="C127" s="17"/>
      <c r="D127" s="17"/>
      <c r="E127" s="17"/>
      <c r="F127" s="38"/>
      <c r="G127" s="38"/>
      <c r="H127" s="17"/>
      <c r="I127" s="100"/>
      <c r="J127" s="17"/>
      <c r="K127" s="38"/>
      <c r="L127" s="42"/>
      <c r="M127" s="38"/>
      <c r="N127" s="38"/>
      <c r="O127" s="17"/>
      <c r="P127" s="17"/>
      <c r="Q127" s="18"/>
      <c r="R127" s="18"/>
    </row>
    <row r="128" spans="1:21" x14ac:dyDescent="0.25">
      <c r="A128" s="17"/>
      <c r="B128" s="17"/>
      <c r="C128" s="17"/>
      <c r="D128" s="17"/>
      <c r="E128" s="17"/>
      <c r="F128" s="38"/>
      <c r="G128" s="38"/>
      <c r="H128" s="17"/>
      <c r="I128" s="100"/>
      <c r="J128" s="17"/>
      <c r="K128" s="38"/>
      <c r="L128" s="42"/>
      <c r="M128" s="38"/>
      <c r="N128" s="38"/>
      <c r="O128" s="17"/>
      <c r="P128" s="17"/>
      <c r="Q128" s="18"/>
      <c r="R128" s="18"/>
    </row>
    <row r="129" spans="1:21" ht="15.6" x14ac:dyDescent="0.3">
      <c r="A129" s="71" t="s">
        <v>242</v>
      </c>
      <c r="B129" s="17"/>
      <c r="C129" s="17"/>
      <c r="D129" s="17"/>
      <c r="E129" s="17"/>
      <c r="F129" s="38"/>
      <c r="G129" s="38"/>
      <c r="H129" s="17"/>
      <c r="I129" s="100"/>
      <c r="J129" s="17"/>
      <c r="K129" s="38"/>
      <c r="L129" s="42"/>
      <c r="M129" s="38"/>
      <c r="N129" s="38"/>
      <c r="O129" s="17"/>
      <c r="P129" s="17"/>
      <c r="Q129" s="18"/>
      <c r="R129" s="18"/>
    </row>
    <row r="130" spans="1:21" x14ac:dyDescent="0.25">
      <c r="A130" s="17"/>
      <c r="B130" s="17"/>
      <c r="C130" s="17"/>
      <c r="D130" s="17"/>
      <c r="E130" s="17"/>
      <c r="F130" s="38"/>
      <c r="G130" s="38"/>
      <c r="H130" s="17"/>
      <c r="I130" s="100"/>
      <c r="J130" s="17"/>
      <c r="K130" s="38"/>
      <c r="L130" s="42"/>
      <c r="M130" s="38"/>
      <c r="N130" s="38"/>
      <c r="O130" s="17"/>
      <c r="P130" s="17"/>
      <c r="Q130" s="18"/>
      <c r="R130" s="18"/>
    </row>
    <row r="131" spans="1:21" ht="13.8" thickBot="1" x14ac:dyDescent="0.3">
      <c r="A131" s="17"/>
      <c r="B131" s="17"/>
      <c r="C131" s="17"/>
      <c r="D131" s="17"/>
      <c r="E131" s="17"/>
      <c r="F131" s="38"/>
      <c r="G131" s="38"/>
      <c r="H131" s="17"/>
      <c r="I131" s="100"/>
      <c r="J131" s="17"/>
      <c r="K131" s="38"/>
      <c r="L131" s="42"/>
      <c r="M131" s="38"/>
      <c r="N131" s="38"/>
      <c r="O131" s="17"/>
      <c r="P131" s="17"/>
      <c r="Q131" s="18"/>
      <c r="R131" s="18"/>
    </row>
    <row r="132" spans="1:21" x14ac:dyDescent="0.25">
      <c r="A132" s="121" t="s">
        <v>21</v>
      </c>
      <c r="B132" s="122" t="s">
        <v>60</v>
      </c>
      <c r="C132" s="123" t="s">
        <v>14</v>
      </c>
      <c r="D132" s="122" t="s">
        <v>3</v>
      </c>
      <c r="E132" s="469" t="s">
        <v>13</v>
      </c>
      <c r="F132" s="469"/>
      <c r="G132" s="469"/>
      <c r="H132" s="469"/>
      <c r="I132" s="472" t="s">
        <v>168</v>
      </c>
      <c r="J132" s="469"/>
      <c r="K132" s="469"/>
      <c r="L132" s="473"/>
      <c r="M132" s="469" t="s">
        <v>30</v>
      </c>
      <c r="N132" s="469"/>
      <c r="O132" s="469"/>
      <c r="P132" s="470" t="s">
        <v>106</v>
      </c>
      <c r="Q132" s="471"/>
      <c r="R132" s="471"/>
      <c r="S132" s="470" t="s">
        <v>337</v>
      </c>
      <c r="T132" s="471"/>
      <c r="U132" s="480"/>
    </row>
    <row r="133" spans="1:21" x14ac:dyDescent="0.25">
      <c r="A133" s="124"/>
      <c r="B133" s="116"/>
      <c r="C133" s="99"/>
      <c r="D133" s="40"/>
      <c r="E133" s="99"/>
      <c r="F133" s="94" t="s">
        <v>10</v>
      </c>
      <c r="G133" s="94" t="s">
        <v>11</v>
      </c>
      <c r="H133" s="99" t="s">
        <v>12</v>
      </c>
      <c r="I133" s="77"/>
      <c r="J133" s="99"/>
      <c r="K133" s="94"/>
      <c r="L133" s="119"/>
      <c r="M133" s="94" t="s">
        <v>9</v>
      </c>
      <c r="N133" s="94" t="s">
        <v>15</v>
      </c>
      <c r="O133" s="99" t="s">
        <v>20</v>
      </c>
      <c r="P133" s="77" t="s">
        <v>52</v>
      </c>
      <c r="Q133" s="101" t="s">
        <v>55</v>
      </c>
      <c r="R133" s="99" t="s">
        <v>51</v>
      </c>
      <c r="S133" s="77" t="s">
        <v>52</v>
      </c>
      <c r="T133" s="101" t="s">
        <v>55</v>
      </c>
      <c r="U133" s="83" t="s">
        <v>328</v>
      </c>
    </row>
    <row r="134" spans="1:21" x14ac:dyDescent="0.25">
      <c r="A134" s="125"/>
      <c r="B134" s="117" t="s">
        <v>76</v>
      </c>
      <c r="C134" s="92"/>
      <c r="D134" s="117"/>
      <c r="E134" s="92"/>
      <c r="F134" s="95" t="s">
        <v>4</v>
      </c>
      <c r="G134" s="95" t="s">
        <v>4</v>
      </c>
      <c r="H134" s="92" t="s">
        <v>4</v>
      </c>
      <c r="I134" s="91"/>
      <c r="J134" s="92"/>
      <c r="K134" s="92"/>
      <c r="L134" s="120"/>
      <c r="M134" s="95" t="s">
        <v>1</v>
      </c>
      <c r="N134" s="95"/>
      <c r="O134" s="92"/>
      <c r="P134" s="16" t="s">
        <v>54</v>
      </c>
      <c r="Q134" s="72" t="s">
        <v>20</v>
      </c>
      <c r="R134" s="17" t="s">
        <v>20</v>
      </c>
      <c r="S134" s="16" t="s">
        <v>54</v>
      </c>
      <c r="T134" s="72" t="s">
        <v>20</v>
      </c>
      <c r="U134" s="113"/>
    </row>
    <row r="135" spans="1:21" x14ac:dyDescent="0.25">
      <c r="A135" s="53"/>
      <c r="B135" s="40"/>
      <c r="C135" s="17"/>
      <c r="D135" s="40"/>
      <c r="E135" s="17"/>
      <c r="F135" s="38"/>
      <c r="G135" s="38"/>
      <c r="H135" s="17"/>
      <c r="I135" s="39"/>
      <c r="J135" s="17"/>
      <c r="K135" s="38"/>
      <c r="L135" s="34"/>
      <c r="M135" s="38"/>
      <c r="N135" s="38"/>
      <c r="O135" s="17"/>
      <c r="P135" s="16"/>
      <c r="Q135" s="18"/>
      <c r="R135" s="18"/>
      <c r="S135" s="16"/>
      <c r="T135" s="18"/>
      <c r="U135" s="126"/>
    </row>
    <row r="136" spans="1:21" x14ac:dyDescent="0.25">
      <c r="A136" s="49">
        <v>40</v>
      </c>
      <c r="B136" s="36">
        <v>91.03</v>
      </c>
      <c r="C136" s="14" t="s">
        <v>66</v>
      </c>
      <c r="D136" s="36" t="s">
        <v>61</v>
      </c>
      <c r="E136" s="14" t="s">
        <v>24</v>
      </c>
      <c r="F136" s="28">
        <v>20.167000000000002</v>
      </c>
      <c r="G136" s="28">
        <v>20.234999999999999</v>
      </c>
      <c r="H136" s="28">
        <f>G136-F136</f>
        <v>6.799999999999784E-2</v>
      </c>
      <c r="I136" s="13" t="s">
        <v>162</v>
      </c>
      <c r="J136" s="14" t="s">
        <v>169</v>
      </c>
      <c r="K136" s="28" t="s">
        <v>166</v>
      </c>
      <c r="L136" s="32" t="s">
        <v>167</v>
      </c>
      <c r="M136" s="28">
        <f>60*SUM(H136:H139)/B136</f>
        <v>0.17400856860375188</v>
      </c>
      <c r="N136" s="28">
        <f>100*SUM(H136:H139)/K139</f>
        <v>0.44954634981524372</v>
      </c>
      <c r="O136" s="14">
        <f>1000*SUM(H136:H139)/K139</f>
        <v>4.4954634981524375</v>
      </c>
      <c r="P136" s="13">
        <v>0.12509999999999999</v>
      </c>
      <c r="Q136" s="178">
        <f>SUM(P136:P139)/K139</f>
        <v>8.3336357424085884E-3</v>
      </c>
      <c r="R136" s="15"/>
      <c r="S136" s="435">
        <v>6.5600000000000006E-2</v>
      </c>
      <c r="T136" s="15">
        <f>SUM(S136:S139)/K139</f>
        <v>4.6010387772758496E-3</v>
      </c>
      <c r="U136" s="436">
        <f>(Q136-T136)/T136</f>
        <v>0.81125092524056241</v>
      </c>
    </row>
    <row r="137" spans="1:21" x14ac:dyDescent="0.25">
      <c r="A137" s="132"/>
      <c r="B137" s="36"/>
      <c r="C137" s="14" t="s">
        <v>67</v>
      </c>
      <c r="D137" s="36">
        <v>304</v>
      </c>
      <c r="E137" s="14" t="s">
        <v>193</v>
      </c>
      <c r="F137" s="28">
        <v>20.707000000000001</v>
      </c>
      <c r="G137" s="28">
        <v>20.774999999999999</v>
      </c>
      <c r="H137" s="14">
        <f>G137-F137</f>
        <v>6.799999999999784E-2</v>
      </c>
      <c r="I137" s="13">
        <v>6.2920767716535435</v>
      </c>
      <c r="J137" s="14">
        <f>23+10.5/12</f>
        <v>23.875</v>
      </c>
      <c r="K137" s="28">
        <v>0.124435</v>
      </c>
      <c r="L137" s="32">
        <f>I137*3.14159*J137</f>
        <v>471.94012047828494</v>
      </c>
      <c r="M137" s="28"/>
      <c r="N137" s="28"/>
      <c r="O137" s="14"/>
      <c r="P137" s="13">
        <v>0.12970000000000001</v>
      </c>
      <c r="Q137" s="15"/>
      <c r="R137" s="15"/>
      <c r="S137" s="435">
        <v>6.88E-2</v>
      </c>
      <c r="T137" s="15"/>
      <c r="U137" s="127"/>
    </row>
    <row r="138" spans="1:21" x14ac:dyDescent="0.25">
      <c r="A138" s="132"/>
      <c r="B138" s="131"/>
      <c r="C138" s="14" t="s">
        <v>230</v>
      </c>
      <c r="D138" s="36"/>
      <c r="E138" s="14" t="s">
        <v>26</v>
      </c>
      <c r="F138" s="28">
        <v>19.358000000000001</v>
      </c>
      <c r="G138" s="28">
        <v>19.423999999999999</v>
      </c>
      <c r="H138" s="14">
        <f>G138-F138</f>
        <v>6.5999999999998948E-2</v>
      </c>
      <c r="I138" s="33"/>
      <c r="J138" s="14"/>
      <c r="K138" s="28"/>
      <c r="L138" s="32"/>
      <c r="M138" s="28"/>
      <c r="N138" s="28"/>
      <c r="O138" s="14"/>
      <c r="P138" s="13">
        <v>0.1145</v>
      </c>
      <c r="Q138" s="15"/>
      <c r="R138" s="15"/>
      <c r="S138" s="435">
        <v>6.5100000000000005E-2</v>
      </c>
      <c r="T138" s="15"/>
      <c r="U138" s="127"/>
    </row>
    <row r="139" spans="1:21" x14ac:dyDescent="0.25">
      <c r="A139" s="132"/>
      <c r="B139" s="131"/>
      <c r="C139" s="14"/>
      <c r="D139" s="36"/>
      <c r="E139" s="14" t="s">
        <v>25</v>
      </c>
      <c r="F139" s="28">
        <v>22.283000000000001</v>
      </c>
      <c r="G139" s="28">
        <v>22.344999999999999</v>
      </c>
      <c r="H139" s="14">
        <f>G139-F139</f>
        <v>6.1999999999997613E-2</v>
      </c>
      <c r="I139" s="459" t="s">
        <v>18</v>
      </c>
      <c r="J139" s="460"/>
      <c r="K139" s="28">
        <f>L137*K137</f>
        <v>58.725868891715386</v>
      </c>
      <c r="L139" s="32" t="s">
        <v>163</v>
      </c>
      <c r="M139" s="28"/>
      <c r="N139" s="28"/>
      <c r="O139" s="14"/>
      <c r="P139" s="13">
        <v>0.1201</v>
      </c>
      <c r="Q139" s="15"/>
      <c r="R139" s="15"/>
      <c r="S139" s="435">
        <v>7.0699999999999999E-2</v>
      </c>
      <c r="T139" s="15"/>
      <c r="U139" s="127"/>
    </row>
    <row r="140" spans="1:21" x14ac:dyDescent="0.25">
      <c r="A140" s="132"/>
      <c r="B140" s="131"/>
      <c r="C140" s="14"/>
      <c r="D140" s="36"/>
      <c r="E140" s="15"/>
      <c r="F140" s="102"/>
      <c r="G140" s="102"/>
      <c r="H140" s="15"/>
      <c r="I140" s="13"/>
      <c r="J140" s="15"/>
      <c r="K140" s="102"/>
      <c r="L140" s="32">
        <f>60*L137/B136</f>
        <v>311.06676072390525</v>
      </c>
      <c r="M140" s="28"/>
      <c r="N140" s="28"/>
      <c r="O140" s="14"/>
      <c r="P140" s="13"/>
      <c r="Q140" s="15"/>
      <c r="R140" s="15"/>
      <c r="S140" s="20"/>
      <c r="T140" s="15"/>
      <c r="U140" s="127"/>
    </row>
    <row r="141" spans="1:21" x14ac:dyDescent="0.25">
      <c r="A141" s="53">
        <v>41</v>
      </c>
      <c r="B141" s="40">
        <v>93.85</v>
      </c>
      <c r="C141" s="17" t="s">
        <v>66</v>
      </c>
      <c r="D141" s="40" t="s">
        <v>61</v>
      </c>
      <c r="E141" s="17" t="s">
        <v>24</v>
      </c>
      <c r="F141" s="38">
        <v>20.498999999999999</v>
      </c>
      <c r="G141" s="38">
        <v>20.591000000000001</v>
      </c>
      <c r="H141" s="17">
        <f>G141-F141</f>
        <v>9.2000000000002302E-2</v>
      </c>
      <c r="I141" s="16" t="s">
        <v>162</v>
      </c>
      <c r="J141" s="17" t="s">
        <v>169</v>
      </c>
      <c r="K141" s="38" t="s">
        <v>166</v>
      </c>
      <c r="L141" s="34" t="s">
        <v>167</v>
      </c>
      <c r="M141" s="38">
        <f>60*SUM(H141:H144)/B141</f>
        <v>0.7518380394246128</v>
      </c>
      <c r="N141" s="38">
        <f>100*SUM(H141:H144)/K144</f>
        <v>1.2792047090060765</v>
      </c>
      <c r="O141" s="17">
        <f>1000*SUM(H141:H144)/K144</f>
        <v>12.792047090060766</v>
      </c>
      <c r="P141" s="16">
        <v>0.24260000000000001</v>
      </c>
      <c r="Q141" s="179">
        <f>SUM(P141:P144)/K144</f>
        <v>1.1461717703058715E-2</v>
      </c>
      <c r="R141" s="12"/>
      <c r="S141" s="287">
        <v>0.19950000000000001</v>
      </c>
      <c r="T141" s="18">
        <f>SUM(S141:S144)/K144</f>
        <v>8.9305022627039991E-3</v>
      </c>
      <c r="U141" s="284">
        <f>(Q141-T141)/T141</f>
        <v>0.28343483556638266</v>
      </c>
    </row>
    <row r="142" spans="1:21" x14ac:dyDescent="0.25">
      <c r="A142" s="53"/>
      <c r="B142" s="40"/>
      <c r="C142" s="17" t="s">
        <v>67</v>
      </c>
      <c r="D142" s="40">
        <v>304</v>
      </c>
      <c r="E142" s="17" t="s">
        <v>23</v>
      </c>
      <c r="F142" s="38">
        <v>21.131</v>
      </c>
      <c r="G142" s="38">
        <v>21.204000000000001</v>
      </c>
      <c r="H142" s="17">
        <f>G142-F142</f>
        <v>7.3000000000000398E-2</v>
      </c>
      <c r="I142" s="16">
        <v>6.29207677165354</v>
      </c>
      <c r="J142" s="17">
        <f>37+4.5/12</f>
        <v>37.375</v>
      </c>
      <c r="K142" s="38">
        <v>0.124435</v>
      </c>
      <c r="L142" s="34">
        <f>I142*3.14159*J142</f>
        <v>738.79631425658181</v>
      </c>
      <c r="M142" s="38"/>
      <c r="N142" s="38"/>
      <c r="O142" s="17"/>
      <c r="P142" s="16">
        <v>0.27129999999999999</v>
      </c>
      <c r="Q142" s="18"/>
      <c r="R142" s="12"/>
      <c r="S142" s="287">
        <v>0.20760000000000001</v>
      </c>
      <c r="T142" s="12"/>
      <c r="U142" s="133"/>
    </row>
    <row r="143" spans="1:21" x14ac:dyDescent="0.25">
      <c r="A143" s="53"/>
      <c r="B143" s="40"/>
      <c r="C143" s="17" t="s">
        <v>230</v>
      </c>
      <c r="D143" s="40"/>
      <c r="E143" s="17" t="s">
        <v>26</v>
      </c>
      <c r="F143" s="38">
        <v>20.286000000000001</v>
      </c>
      <c r="G143" s="38">
        <v>20.375</v>
      </c>
      <c r="H143" s="17">
        <f>G143-F143</f>
        <v>8.8999999999998636E-2</v>
      </c>
      <c r="I143" s="39"/>
      <c r="J143" s="17"/>
      <c r="K143" s="98"/>
      <c r="L143" s="34"/>
      <c r="M143" s="38"/>
      <c r="N143" s="38"/>
      <c r="O143" s="17"/>
      <c r="P143" s="16">
        <v>0.26910000000000001</v>
      </c>
      <c r="Q143" s="18"/>
      <c r="R143" s="12"/>
      <c r="S143" s="287">
        <v>0.20610000000000001</v>
      </c>
      <c r="T143" s="12"/>
      <c r="U143" s="133"/>
    </row>
    <row r="144" spans="1:21" x14ac:dyDescent="0.25">
      <c r="A144" s="53"/>
      <c r="B144" s="40"/>
      <c r="C144" s="17"/>
      <c r="D144" s="40"/>
      <c r="E144" s="17" t="s">
        <v>25</v>
      </c>
      <c r="F144" s="38">
        <v>20.702000000000002</v>
      </c>
      <c r="G144" s="38">
        <v>21.623999999999999</v>
      </c>
      <c r="H144" s="17">
        <f>G144-F144</f>
        <v>0.92199999999999704</v>
      </c>
      <c r="I144" s="461" t="s">
        <v>18</v>
      </c>
      <c r="J144" s="256"/>
      <c r="K144" s="38">
        <f>L142*K142</f>
        <v>91.93211936451776</v>
      </c>
      <c r="L144" s="34" t="s">
        <v>163</v>
      </c>
      <c r="M144" s="38"/>
      <c r="N144" s="38"/>
      <c r="O144" s="17"/>
      <c r="P144" s="16">
        <v>0.2707</v>
      </c>
      <c r="Q144" s="18"/>
      <c r="R144" s="12"/>
      <c r="S144" s="287">
        <v>0.20780000000000001</v>
      </c>
      <c r="T144" s="12"/>
      <c r="U144" s="133"/>
    </row>
    <row r="145" spans="1:21" x14ac:dyDescent="0.25">
      <c r="A145" s="53"/>
      <c r="B145" s="40"/>
      <c r="C145" s="17"/>
      <c r="D145" s="40"/>
      <c r="E145" s="17"/>
      <c r="F145" s="38"/>
      <c r="G145" s="38"/>
      <c r="H145" s="17"/>
      <c r="I145" s="39"/>
      <c r="J145" s="17"/>
      <c r="K145" s="38"/>
      <c r="L145" s="34">
        <f>60*L142/B141</f>
        <v>472.32582690884294</v>
      </c>
      <c r="M145" s="38"/>
      <c r="N145" s="38"/>
      <c r="O145" s="17"/>
      <c r="P145" s="16"/>
      <c r="Q145" s="18"/>
      <c r="R145" s="12"/>
      <c r="S145" s="21"/>
      <c r="T145" s="12"/>
      <c r="U145" s="133"/>
    </row>
    <row r="146" spans="1:21" x14ac:dyDescent="0.25">
      <c r="A146" s="49">
        <v>42</v>
      </c>
      <c r="B146" s="36">
        <v>51.13</v>
      </c>
      <c r="C146" s="14" t="s">
        <v>66</v>
      </c>
      <c r="D146" s="36" t="s">
        <v>61</v>
      </c>
      <c r="E146" s="14" t="s">
        <v>24</v>
      </c>
      <c r="F146" s="28">
        <v>20.823</v>
      </c>
      <c r="G146" s="28">
        <v>20.914000000000001</v>
      </c>
      <c r="H146" s="14">
        <f>G146-F146</f>
        <v>9.100000000000108E-2</v>
      </c>
      <c r="I146" s="13" t="s">
        <v>162</v>
      </c>
      <c r="J146" s="14" t="s">
        <v>169</v>
      </c>
      <c r="K146" s="28" t="s">
        <v>166</v>
      </c>
      <c r="L146" s="32" t="s">
        <v>167</v>
      </c>
      <c r="M146" s="28">
        <f>60*SUM(H146:H149)/B146</f>
        <v>0.39311558771758359</v>
      </c>
      <c r="N146" s="28">
        <f>100*SUM(H146:H149)/K149</f>
        <v>0.40835213841869755</v>
      </c>
      <c r="O146" s="14">
        <f>1000*SUM(H146:H149)/K149</f>
        <v>4.0835213841869757</v>
      </c>
      <c r="P146" s="13">
        <v>0.39250000000000002</v>
      </c>
      <c r="Q146" s="178">
        <f>SUM(P146:P149)/K149</f>
        <v>1.862817128153588E-2</v>
      </c>
      <c r="R146" s="15"/>
      <c r="S146" s="435">
        <v>0.24840000000000001</v>
      </c>
      <c r="T146" s="15">
        <f>SUM(S146:S149)/K149</f>
        <v>1.2406591238285055E-2</v>
      </c>
      <c r="U146" s="436">
        <f>(Q146-T146)/T146</f>
        <v>0.5014737669483198</v>
      </c>
    </row>
    <row r="147" spans="1:21" x14ac:dyDescent="0.25">
      <c r="A147" s="49"/>
      <c r="B147" s="36"/>
      <c r="C147" s="14" t="s">
        <v>67</v>
      </c>
      <c r="D147" s="36">
        <v>304</v>
      </c>
      <c r="E147" s="14" t="s">
        <v>23</v>
      </c>
      <c r="F147" s="28">
        <v>20.341999999999999</v>
      </c>
      <c r="G147" s="28">
        <v>20.423999999999999</v>
      </c>
      <c r="H147" s="14">
        <f>G147-F147</f>
        <v>8.2000000000000739E-2</v>
      </c>
      <c r="I147" s="13">
        <v>6.134596456692913</v>
      </c>
      <c r="J147" s="14">
        <f>35+5.5/12-5/4</f>
        <v>34.208333333333336</v>
      </c>
      <c r="K147" s="28">
        <v>0.124435</v>
      </c>
      <c r="L147" s="32">
        <f>I147*3.14159*J147</f>
        <v>659.2762346014805</v>
      </c>
      <c r="M147" s="28"/>
      <c r="N147" s="28"/>
      <c r="O147" s="14"/>
      <c r="P147" s="13">
        <v>0.37530000000000002</v>
      </c>
      <c r="Q147" s="15"/>
      <c r="R147" s="15"/>
      <c r="S147" s="435">
        <v>0.25900000000000001</v>
      </c>
      <c r="T147" s="437"/>
      <c r="U147" s="127"/>
    </row>
    <row r="148" spans="1:21" x14ac:dyDescent="0.25">
      <c r="A148" s="49"/>
      <c r="B148" s="36"/>
      <c r="C148" s="14" t="s">
        <v>230</v>
      </c>
      <c r="D148" s="36"/>
      <c r="E148" s="14" t="s">
        <v>26</v>
      </c>
      <c r="F148" s="28">
        <v>20.545000000000002</v>
      </c>
      <c r="G148" s="28">
        <v>20.626000000000001</v>
      </c>
      <c r="H148" s="14">
        <f>G148-F148</f>
        <v>8.0999999999999517E-2</v>
      </c>
      <c r="I148" s="20"/>
      <c r="J148" s="15"/>
      <c r="K148" s="102"/>
      <c r="L148" s="32"/>
      <c r="M148" s="28"/>
      <c r="N148" s="28"/>
      <c r="O148" s="14"/>
      <c r="P148" s="13">
        <v>0.36770000000000003</v>
      </c>
      <c r="Q148" s="15"/>
      <c r="R148" s="15"/>
      <c r="S148" s="435">
        <v>0.25719999999999998</v>
      </c>
      <c r="T148" s="437"/>
      <c r="U148" s="127"/>
    </row>
    <row r="149" spans="1:21" x14ac:dyDescent="0.25">
      <c r="A149" s="49"/>
      <c r="B149" s="36"/>
      <c r="C149" s="14"/>
      <c r="D149" s="36"/>
      <c r="E149" s="14" t="s">
        <v>25</v>
      </c>
      <c r="F149" s="28">
        <v>19.114000000000001</v>
      </c>
      <c r="G149" s="28">
        <v>19.195</v>
      </c>
      <c r="H149" s="14">
        <f>G149-F149</f>
        <v>8.0999999999999517E-2</v>
      </c>
      <c r="I149" s="459" t="s">
        <v>18</v>
      </c>
      <c r="J149" s="460"/>
      <c r="K149" s="28">
        <f>L147*K147</f>
        <v>82.037038252635227</v>
      </c>
      <c r="L149" s="32" t="s">
        <v>163</v>
      </c>
      <c r="M149" s="28"/>
      <c r="N149" s="28"/>
      <c r="O149" s="14"/>
      <c r="P149" s="13">
        <v>0.39269999999999999</v>
      </c>
      <c r="Q149" s="15"/>
      <c r="R149" s="15"/>
      <c r="S149" s="435">
        <v>0.25319999999999998</v>
      </c>
      <c r="T149" s="437"/>
      <c r="U149" s="127"/>
    </row>
    <row r="150" spans="1:21" x14ac:dyDescent="0.25">
      <c r="A150" s="49"/>
      <c r="B150" s="36"/>
      <c r="C150" s="14"/>
      <c r="D150" s="36"/>
      <c r="E150" s="14"/>
      <c r="F150" s="28"/>
      <c r="G150" s="28"/>
      <c r="H150" s="14"/>
      <c r="I150" s="13"/>
      <c r="J150" s="14"/>
      <c r="K150" s="28"/>
      <c r="L150" s="32">
        <f>60*L147/B146</f>
        <v>773.64705801073399</v>
      </c>
      <c r="M150" s="28"/>
      <c r="N150" s="28"/>
      <c r="O150" s="14"/>
      <c r="P150" s="13"/>
      <c r="Q150" s="15"/>
      <c r="R150" s="15"/>
      <c r="S150" s="20"/>
      <c r="T150" s="437"/>
      <c r="U150" s="127"/>
    </row>
    <row r="151" spans="1:21" x14ac:dyDescent="0.25">
      <c r="A151" s="53">
        <v>43</v>
      </c>
      <c r="B151" s="40">
        <v>106.5</v>
      </c>
      <c r="C151" s="17" t="s">
        <v>196</v>
      </c>
      <c r="D151" s="40" t="s">
        <v>61</v>
      </c>
      <c r="E151" s="17" t="s">
        <v>24</v>
      </c>
      <c r="F151" s="38">
        <v>21.655000000000001</v>
      </c>
      <c r="G151" s="38">
        <v>21.809000000000001</v>
      </c>
      <c r="H151" s="17">
        <f>G151-F151</f>
        <v>0.15399999999999991</v>
      </c>
      <c r="I151" s="16" t="s">
        <v>162</v>
      </c>
      <c r="J151" s="17" t="s">
        <v>169</v>
      </c>
      <c r="K151" s="38" t="s">
        <v>166</v>
      </c>
      <c r="L151" s="34" t="s">
        <v>167</v>
      </c>
      <c r="M151" s="38">
        <f>60*SUM(H151:H154)/B151</f>
        <v>0.34422535211267641</v>
      </c>
      <c r="N151" s="38">
        <f>100*SUM(H151:H154)/K154</f>
        <v>0.75422446880577054</v>
      </c>
      <c r="O151" s="17">
        <f>1000*SUM(H151:H154)/K154</f>
        <v>7.5422446880577061</v>
      </c>
      <c r="P151" s="16">
        <v>0.32819999999999999</v>
      </c>
      <c r="Q151" s="179">
        <f>SUM(P151:P154)/K154</f>
        <v>1.5876980552831113E-2</v>
      </c>
      <c r="R151" s="18"/>
      <c r="S151" s="450">
        <v>0.30309999999999998</v>
      </c>
      <c r="T151" s="18">
        <f>SUM(S151:S154)/K154</f>
        <v>1.5365934840743408E-2</v>
      </c>
      <c r="U151" s="451">
        <f>(Q151-T151)/T151</f>
        <v>3.3258354755783939E-2</v>
      </c>
    </row>
    <row r="152" spans="1:21" x14ac:dyDescent="0.25">
      <c r="A152" s="53"/>
      <c r="B152" s="40"/>
      <c r="C152" s="17" t="s">
        <v>65</v>
      </c>
      <c r="D152" s="40">
        <v>304</v>
      </c>
      <c r="E152" s="17" t="s">
        <v>23</v>
      </c>
      <c r="F152" s="38">
        <v>22.303999999999998</v>
      </c>
      <c r="G152" s="38">
        <v>22.454999999999998</v>
      </c>
      <c r="H152" s="17">
        <f>G152-F152</f>
        <v>0.1509999999999998</v>
      </c>
      <c r="I152" s="16">
        <v>7.875</v>
      </c>
      <c r="J152" s="17">
        <f>18+11.5/12</f>
        <v>18.958333333333332</v>
      </c>
      <c r="K152" s="38">
        <v>0.17271910112359551</v>
      </c>
      <c r="L152" s="34">
        <f>I152*3.14159*J152</f>
        <v>469.02956953124993</v>
      </c>
      <c r="M152" s="38"/>
      <c r="N152" s="38"/>
      <c r="O152" s="17"/>
      <c r="P152" s="16">
        <v>0.31240000000000001</v>
      </c>
      <c r="Q152" s="18"/>
      <c r="R152" s="18"/>
      <c r="S152" s="450">
        <v>0.32769999999999999</v>
      </c>
      <c r="T152" s="286"/>
      <c r="U152" s="126"/>
    </row>
    <row r="153" spans="1:21" x14ac:dyDescent="0.25">
      <c r="A153" s="53"/>
      <c r="B153" s="40"/>
      <c r="C153" s="17" t="s">
        <v>231</v>
      </c>
      <c r="D153" s="40"/>
      <c r="E153" s="17" t="s">
        <v>26</v>
      </c>
      <c r="F153" s="38">
        <v>19.056999999999999</v>
      </c>
      <c r="G153" s="38">
        <v>19.210999999999999</v>
      </c>
      <c r="H153" s="17">
        <f>G153-F153</f>
        <v>0.15399999999999991</v>
      </c>
      <c r="I153" s="39"/>
      <c r="J153" s="17"/>
      <c r="K153" s="98"/>
      <c r="L153" s="34"/>
      <c r="M153" s="38"/>
      <c r="N153" s="38"/>
      <c r="O153" s="17"/>
      <c r="P153" s="16">
        <v>0.32829999999999998</v>
      </c>
      <c r="Q153" s="18"/>
      <c r="R153" s="18"/>
      <c r="S153" s="450">
        <v>0.29920000000000002</v>
      </c>
      <c r="T153" s="286"/>
      <c r="U153" s="126"/>
    </row>
    <row r="154" spans="1:21" x14ac:dyDescent="0.25">
      <c r="A154" s="53"/>
      <c r="B154" s="40"/>
      <c r="C154" s="17"/>
      <c r="D154" s="40"/>
      <c r="E154" s="17" t="s">
        <v>25</v>
      </c>
      <c r="F154" s="38">
        <v>19.811</v>
      </c>
      <c r="G154" s="38">
        <v>19.963000000000001</v>
      </c>
      <c r="H154" s="17">
        <f>G154-F154</f>
        <v>0.15200000000000102</v>
      </c>
      <c r="I154" s="461" t="s">
        <v>18</v>
      </c>
      <c r="J154" s="256"/>
      <c r="K154" s="38">
        <f>L152*K152</f>
        <v>81.010365649824422</v>
      </c>
      <c r="L154" s="34" t="s">
        <v>163</v>
      </c>
      <c r="M154" s="38"/>
      <c r="N154" s="38"/>
      <c r="O154" s="17"/>
      <c r="P154" s="16">
        <v>0.31730000000000003</v>
      </c>
      <c r="Q154" s="18"/>
      <c r="R154" s="18"/>
      <c r="S154" s="450">
        <v>0.31480000000000002</v>
      </c>
      <c r="T154" s="286"/>
      <c r="U154" s="126"/>
    </row>
    <row r="155" spans="1:21" x14ac:dyDescent="0.25">
      <c r="A155" s="53"/>
      <c r="B155" s="40"/>
      <c r="C155" s="17"/>
      <c r="D155" s="40"/>
      <c r="E155" s="17"/>
      <c r="F155" s="38"/>
      <c r="G155" s="38"/>
      <c r="H155" s="17"/>
      <c r="I155" s="39"/>
      <c r="J155" s="17"/>
      <c r="K155" s="38"/>
      <c r="L155" s="34">
        <f>60*L152/B151</f>
        <v>264.2420110035211</v>
      </c>
      <c r="M155" s="38"/>
      <c r="N155" s="38"/>
      <c r="O155" s="17"/>
      <c r="P155" s="16"/>
      <c r="Q155" s="18"/>
      <c r="R155" s="18"/>
      <c r="S155" s="452"/>
      <c r="T155" s="18"/>
      <c r="U155" s="126"/>
    </row>
    <row r="156" spans="1:21" x14ac:dyDescent="0.25">
      <c r="A156" s="49">
        <v>44</v>
      </c>
      <c r="B156" s="36">
        <v>79.83</v>
      </c>
      <c r="C156" s="14" t="s">
        <v>199</v>
      </c>
      <c r="D156" s="36" t="s">
        <v>6</v>
      </c>
      <c r="E156" s="14" t="s">
        <v>24</v>
      </c>
      <c r="F156" s="28">
        <v>20.164999999999999</v>
      </c>
      <c r="G156" s="28">
        <v>20.321000000000002</v>
      </c>
      <c r="H156" s="14">
        <f>G156-F156</f>
        <v>0.15600000000000236</v>
      </c>
      <c r="I156" s="13" t="s">
        <v>162</v>
      </c>
      <c r="J156" s="14" t="s">
        <v>169</v>
      </c>
      <c r="K156" s="28" t="s">
        <v>166</v>
      </c>
      <c r="L156" s="32" t="s">
        <v>167</v>
      </c>
      <c r="M156" s="28">
        <f>60*SUM(H156:H159)/B156</f>
        <v>0.46899661781285673</v>
      </c>
      <c r="N156" s="28">
        <f>100*SUM(H156:H159)/K159</f>
        <v>0.660808943675119</v>
      </c>
      <c r="O156" s="14">
        <f>1000*SUM(H156:H159)/K159</f>
        <v>6.6080894367511904</v>
      </c>
      <c r="P156" s="13">
        <v>1.9E-2</v>
      </c>
      <c r="Q156" s="178">
        <f>SUM(P156:P159)/K159</f>
        <v>7.7412073369632602E-4</v>
      </c>
      <c r="R156" s="15"/>
      <c r="S156" s="435">
        <v>5.4999999999999997E-3</v>
      </c>
      <c r="T156" s="15">
        <f>SUM(S156:S159)/K159</f>
        <v>2.3509548957672286E-4</v>
      </c>
      <c r="U156" s="436">
        <f>(Q156-T156)/T156</f>
        <v>2.2927927927927922</v>
      </c>
    </row>
    <row r="157" spans="1:21" x14ac:dyDescent="0.25">
      <c r="A157" s="49"/>
      <c r="B157" s="36"/>
      <c r="C157" s="14" t="s">
        <v>65</v>
      </c>
      <c r="D157" s="36" t="s">
        <v>62</v>
      </c>
      <c r="E157" s="14" t="s">
        <v>23</v>
      </c>
      <c r="F157" s="28">
        <v>20.190999999999999</v>
      </c>
      <c r="G157" s="28">
        <v>20.341999999999999</v>
      </c>
      <c r="H157" s="14">
        <f>G157-F157</f>
        <v>0.1509999999999998</v>
      </c>
      <c r="I157" s="13">
        <v>11.3125</v>
      </c>
      <c r="J157" s="14">
        <f>15+1/4</f>
        <v>15.25</v>
      </c>
      <c r="K157" s="28">
        <v>0.17423312883435582</v>
      </c>
      <c r="L157" s="32">
        <f>I157*3.14159*J157</f>
        <v>541.97336234374995</v>
      </c>
      <c r="M157" s="28"/>
      <c r="N157" s="28"/>
      <c r="O157" s="14"/>
      <c r="P157" s="13">
        <v>2.0400000000000001E-2</v>
      </c>
      <c r="Q157" s="15"/>
      <c r="R157" s="15"/>
      <c r="S157" s="435">
        <v>5.8999999999999999E-3</v>
      </c>
      <c r="T157" s="15"/>
      <c r="U157" s="127"/>
    </row>
    <row r="158" spans="1:21" x14ac:dyDescent="0.25">
      <c r="A158" s="49"/>
      <c r="B158" s="36"/>
      <c r="C158" s="14" t="s">
        <v>231</v>
      </c>
      <c r="D158" s="36" t="s">
        <v>63</v>
      </c>
      <c r="E158" s="14" t="s">
        <v>26</v>
      </c>
      <c r="F158" s="28">
        <v>20.111999999999998</v>
      </c>
      <c r="G158" s="28">
        <v>20.271000000000001</v>
      </c>
      <c r="H158" s="14">
        <f>G158-F158</f>
        <v>0.15900000000000247</v>
      </c>
      <c r="I158" s="20"/>
      <c r="J158" s="15"/>
      <c r="K158" s="102"/>
      <c r="L158" s="32"/>
      <c r="M158" s="28"/>
      <c r="N158" s="28"/>
      <c r="O158" s="14"/>
      <c r="P158" s="13">
        <v>1.55E-2</v>
      </c>
      <c r="Q158" s="15"/>
      <c r="R158" s="15"/>
      <c r="S158" s="435">
        <v>5.4000000000000003E-3</v>
      </c>
      <c r="T158" s="15"/>
      <c r="U158" s="127"/>
    </row>
    <row r="159" spans="1:21" x14ac:dyDescent="0.25">
      <c r="A159" s="49"/>
      <c r="B159" s="36"/>
      <c r="C159" s="14"/>
      <c r="D159" s="36"/>
      <c r="E159" s="14" t="s">
        <v>25</v>
      </c>
      <c r="F159" s="28">
        <v>19.91</v>
      </c>
      <c r="G159" s="28">
        <v>20.068000000000001</v>
      </c>
      <c r="H159" s="14">
        <f>G159-F159</f>
        <v>0.15800000000000125</v>
      </c>
      <c r="I159" s="459" t="s">
        <v>18</v>
      </c>
      <c r="J159" s="460"/>
      <c r="K159" s="28">
        <f>L157*K157</f>
        <v>94.429714666027593</v>
      </c>
      <c r="L159" s="32" t="s">
        <v>163</v>
      </c>
      <c r="M159" s="28"/>
      <c r="N159" s="28"/>
      <c r="O159" s="14"/>
      <c r="P159" s="13">
        <v>1.8200000000000001E-2</v>
      </c>
      <c r="Q159" s="15"/>
      <c r="R159" s="15"/>
      <c r="S159" s="435">
        <v>5.4000000000000003E-3</v>
      </c>
      <c r="T159" s="15"/>
      <c r="U159" s="127"/>
    </row>
    <row r="160" spans="1:21" x14ac:dyDescent="0.25">
      <c r="A160" s="49"/>
      <c r="B160" s="36"/>
      <c r="C160" s="14"/>
      <c r="D160" s="36"/>
      <c r="E160" s="14"/>
      <c r="F160" s="28"/>
      <c r="G160" s="28"/>
      <c r="H160" s="14"/>
      <c r="I160" s="13"/>
      <c r="J160" s="14"/>
      <c r="K160" s="28"/>
      <c r="L160" s="32">
        <f>60*L157/B156</f>
        <v>407.34563122416387</v>
      </c>
      <c r="M160" s="28"/>
      <c r="N160" s="28"/>
      <c r="O160" s="14"/>
      <c r="P160" s="13"/>
      <c r="Q160" s="15"/>
      <c r="R160" s="15"/>
      <c r="S160" s="20"/>
      <c r="T160" s="15"/>
      <c r="U160" s="127"/>
    </row>
    <row r="161" spans="1:21" x14ac:dyDescent="0.25">
      <c r="A161" s="53">
        <v>45</v>
      </c>
      <c r="B161" s="40">
        <v>91.69</v>
      </c>
      <c r="C161" s="17" t="s">
        <v>196</v>
      </c>
      <c r="D161" s="40" t="s">
        <v>61</v>
      </c>
      <c r="E161" s="17" t="s">
        <v>24</v>
      </c>
      <c r="F161" s="38">
        <v>19.440999999999999</v>
      </c>
      <c r="G161" s="38">
        <v>19.567</v>
      </c>
      <c r="H161" s="38">
        <f>G161-F161</f>
        <v>0.12600000000000122</v>
      </c>
      <c r="I161" s="16" t="s">
        <v>162</v>
      </c>
      <c r="J161" s="17" t="s">
        <v>169</v>
      </c>
      <c r="K161" s="38" t="s">
        <v>166</v>
      </c>
      <c r="L161" s="34" t="s">
        <v>167</v>
      </c>
      <c r="M161" s="38">
        <f>60*SUM(H161:H164)/B161</f>
        <v>0.32980695822881306</v>
      </c>
      <c r="N161" s="38">
        <f>100*SUM(H161:H164)/K164</f>
        <v>0.71664528035193542</v>
      </c>
      <c r="O161" s="17">
        <f>1000*SUM(H161:H164)/K164</f>
        <v>7.1664528035193538</v>
      </c>
      <c r="P161" s="16">
        <v>0.2707</v>
      </c>
      <c r="Q161" s="179">
        <f>SUM(P161:P164)/K164</f>
        <v>1.5103583666464864E-2</v>
      </c>
      <c r="R161" s="12"/>
      <c r="S161" s="21"/>
      <c r="T161" s="12"/>
      <c r="U161" s="133"/>
    </row>
    <row r="162" spans="1:21" x14ac:dyDescent="0.25">
      <c r="A162" s="53"/>
      <c r="B162" s="40"/>
      <c r="C162" s="17" t="s">
        <v>65</v>
      </c>
      <c r="D162" s="40">
        <v>304</v>
      </c>
      <c r="E162" s="17" t="s">
        <v>23</v>
      </c>
      <c r="F162" s="38">
        <v>20.327999999999999</v>
      </c>
      <c r="G162" s="38">
        <v>20.45</v>
      </c>
      <c r="H162" s="17">
        <f>G162-F162</f>
        <v>0.12199999999999989</v>
      </c>
      <c r="I162" s="16">
        <v>7.875</v>
      </c>
      <c r="J162" s="17">
        <f>16+5.5/12</f>
        <v>16.458333333333332</v>
      </c>
      <c r="K162" s="38">
        <v>0.17271910112359601</v>
      </c>
      <c r="L162" s="34">
        <f>I162*3.14159*J162</f>
        <v>407.17951640624995</v>
      </c>
      <c r="M162" s="98"/>
      <c r="N162" s="134"/>
      <c r="O162" s="12"/>
      <c r="P162" s="16">
        <v>0.2555</v>
      </c>
      <c r="Q162" s="18"/>
      <c r="R162" s="12"/>
      <c r="S162" s="21"/>
      <c r="T162" s="12"/>
      <c r="U162" s="133"/>
    </row>
    <row r="163" spans="1:21" x14ac:dyDescent="0.25">
      <c r="A163" s="53"/>
      <c r="B163" s="40"/>
      <c r="C163" s="41" t="s">
        <v>231</v>
      </c>
      <c r="D163" s="40"/>
      <c r="E163" s="17" t="s">
        <v>26</v>
      </c>
      <c r="F163" s="38">
        <v>19.295999999999999</v>
      </c>
      <c r="G163" s="38">
        <v>19.425999999999998</v>
      </c>
      <c r="H163" s="17">
        <f>G163-F163</f>
        <v>0.12999999999999901</v>
      </c>
      <c r="I163" s="39"/>
      <c r="J163" s="17"/>
      <c r="K163" s="98"/>
      <c r="L163" s="34"/>
      <c r="M163" s="98"/>
      <c r="N163" s="134"/>
      <c r="O163" s="12"/>
      <c r="P163" s="16">
        <v>0.27229999999999999</v>
      </c>
      <c r="Q163" s="18"/>
      <c r="R163" s="12"/>
      <c r="S163" s="21"/>
      <c r="T163" s="12"/>
      <c r="U163" s="133"/>
    </row>
    <row r="164" spans="1:21" x14ac:dyDescent="0.25">
      <c r="A164" s="53"/>
      <c r="B164" s="40"/>
      <c r="C164" s="41"/>
      <c r="D164" s="40"/>
      <c r="E164" s="17" t="s">
        <v>25</v>
      </c>
      <c r="F164" s="38">
        <v>19.626000000000001</v>
      </c>
      <c r="G164" s="38">
        <v>19.751999999999999</v>
      </c>
      <c r="H164" s="17">
        <f>G164-F164</f>
        <v>0.12599999999999767</v>
      </c>
      <c r="I164" s="461" t="s">
        <v>18</v>
      </c>
      <c r="J164" s="256"/>
      <c r="K164" s="38">
        <f>L162*K162</f>
        <v>70.327680069628002</v>
      </c>
      <c r="L164" s="34" t="s">
        <v>163</v>
      </c>
      <c r="M164" s="17"/>
      <c r="N164" s="134"/>
      <c r="O164" s="12"/>
      <c r="P164" s="16">
        <v>0.26369999999999999</v>
      </c>
      <c r="Q164" s="18"/>
      <c r="R164" s="12"/>
      <c r="S164" s="21"/>
      <c r="T164" s="12"/>
      <c r="U164" s="133"/>
    </row>
    <row r="165" spans="1:21" x14ac:dyDescent="0.25">
      <c r="A165" s="53"/>
      <c r="B165" s="40"/>
      <c r="C165" s="41"/>
      <c r="D165" s="40"/>
      <c r="E165" s="17"/>
      <c r="F165" s="17"/>
      <c r="G165" s="17"/>
      <c r="H165" s="17"/>
      <c r="I165" s="39"/>
      <c r="J165" s="17"/>
      <c r="K165" s="38"/>
      <c r="L165" s="34">
        <f>60*L162/B161</f>
        <v>266.44967809330353</v>
      </c>
      <c r="M165" s="98"/>
      <c r="N165" s="134"/>
      <c r="O165" s="12"/>
      <c r="P165" s="16"/>
      <c r="Q165" s="18"/>
      <c r="R165" s="12"/>
      <c r="S165" s="21"/>
      <c r="T165" s="12"/>
      <c r="U165" s="133"/>
    </row>
    <row r="166" spans="1:21" x14ac:dyDescent="0.25">
      <c r="A166" s="49">
        <v>46</v>
      </c>
      <c r="B166" s="36">
        <v>92.59</v>
      </c>
      <c r="C166" s="14" t="s">
        <v>196</v>
      </c>
      <c r="D166" s="36" t="s">
        <v>61</v>
      </c>
      <c r="E166" s="14" t="s">
        <v>24</v>
      </c>
      <c r="F166" s="28">
        <v>18.713000000000001</v>
      </c>
      <c r="G166" s="28">
        <v>18.821999999999999</v>
      </c>
      <c r="H166" s="14">
        <f>G166-F166</f>
        <v>0.10899999999999821</v>
      </c>
      <c r="I166" s="13" t="s">
        <v>162</v>
      </c>
      <c r="J166" s="14" t="s">
        <v>169</v>
      </c>
      <c r="K166" s="28" t="s">
        <v>166</v>
      </c>
      <c r="L166" s="32" t="s">
        <v>167</v>
      </c>
      <c r="M166" s="28">
        <f>60*SUM(H166:H169)/B166</f>
        <v>0.33437736256615069</v>
      </c>
      <c r="N166" s="28">
        <f>100*SUM(H166:H169)/K169</f>
        <v>0.73875242337592861</v>
      </c>
      <c r="O166" s="14">
        <f>1000*SUM(H166:H169)/K169</f>
        <v>7.3875242337592857</v>
      </c>
      <c r="P166" s="13">
        <v>0.2051</v>
      </c>
      <c r="Q166" s="178">
        <f>SUM(P166:P169)/K169</f>
        <v>1.3947531218078141E-2</v>
      </c>
      <c r="R166" s="15"/>
      <c r="S166" s="20"/>
      <c r="T166" s="15"/>
      <c r="U166" s="127"/>
    </row>
    <row r="167" spans="1:21" x14ac:dyDescent="0.25">
      <c r="A167" s="49"/>
      <c r="B167" s="36"/>
      <c r="C167" s="14" t="s">
        <v>65</v>
      </c>
      <c r="D167" s="36">
        <v>304</v>
      </c>
      <c r="E167" s="14" t="s">
        <v>23</v>
      </c>
      <c r="F167" s="28">
        <v>17.946999999999999</v>
      </c>
      <c r="G167" s="28">
        <v>18.085000000000001</v>
      </c>
      <c r="H167" s="14">
        <f>G167-F167</f>
        <v>0.13800000000000168</v>
      </c>
      <c r="I167" s="13">
        <f>8-2*(4/10/2.54)</f>
        <v>7.6850393700787398</v>
      </c>
      <c r="J167" s="14">
        <f>16+9/12</f>
        <v>16.75</v>
      </c>
      <c r="K167" s="28">
        <v>0.17271910112359601</v>
      </c>
      <c r="L167" s="32">
        <f>I167*3.14159*J167</f>
        <v>404.39931748031495</v>
      </c>
      <c r="M167" s="28"/>
      <c r="N167" s="28"/>
      <c r="O167" s="14"/>
      <c r="P167" s="13">
        <v>0.25779999999999997</v>
      </c>
      <c r="Q167" s="15"/>
      <c r="R167" s="15"/>
      <c r="S167" s="20"/>
      <c r="T167" s="15"/>
      <c r="U167" s="127"/>
    </row>
    <row r="168" spans="1:21" x14ac:dyDescent="0.25">
      <c r="A168" s="49"/>
      <c r="B168" s="36"/>
      <c r="C168" s="14" t="s">
        <v>231</v>
      </c>
      <c r="D168" s="36"/>
      <c r="E168" s="14" t="s">
        <v>26</v>
      </c>
      <c r="F168" s="28">
        <v>18.896000000000001</v>
      </c>
      <c r="G168" s="28">
        <v>19.03</v>
      </c>
      <c r="H168" s="14">
        <f>G168-F168</f>
        <v>0.13400000000000034</v>
      </c>
      <c r="I168" s="20"/>
      <c r="J168" s="15"/>
      <c r="K168" s="102"/>
      <c r="L168" s="32"/>
      <c r="M168" s="28"/>
      <c r="N168" s="28"/>
      <c r="O168" s="14"/>
      <c r="P168" s="13">
        <v>0.25740000000000002</v>
      </c>
      <c r="Q168" s="15"/>
      <c r="R168" s="15"/>
      <c r="S168" s="20"/>
      <c r="T168" s="15"/>
      <c r="U168" s="127"/>
    </row>
    <row r="169" spans="1:21" x14ac:dyDescent="0.25">
      <c r="A169" s="49"/>
      <c r="B169" s="36"/>
      <c r="C169" s="14"/>
      <c r="D169" s="36"/>
      <c r="E169" s="14" t="s">
        <v>25</v>
      </c>
      <c r="F169" s="28">
        <v>19.760000000000002</v>
      </c>
      <c r="G169" s="28">
        <v>19.895</v>
      </c>
      <c r="H169" s="14">
        <f>G169-F169</f>
        <v>0.13499999999999801</v>
      </c>
      <c r="I169" s="459" t="s">
        <v>18</v>
      </c>
      <c r="J169" s="460"/>
      <c r="K169" s="28">
        <f>L167*K167</f>
        <v>69.84748661019573</v>
      </c>
      <c r="L169" s="32" t="s">
        <v>163</v>
      </c>
      <c r="M169" s="28"/>
      <c r="N169" s="28"/>
      <c r="O169" s="14"/>
      <c r="P169" s="13">
        <v>0.25390000000000001</v>
      </c>
      <c r="Q169" s="15"/>
      <c r="R169" s="15"/>
      <c r="S169" s="20"/>
      <c r="T169" s="15"/>
      <c r="U169" s="127"/>
    </row>
    <row r="170" spans="1:21" x14ac:dyDescent="0.25">
      <c r="A170" s="49"/>
      <c r="B170" s="36"/>
      <c r="C170" s="14"/>
      <c r="D170" s="36"/>
      <c r="E170" s="14"/>
      <c r="F170" s="28"/>
      <c r="G170" s="28"/>
      <c r="H170" s="14"/>
      <c r="I170" s="13"/>
      <c r="J170" s="14"/>
      <c r="K170" s="28"/>
      <c r="L170" s="32">
        <f>60*L167/B166</f>
        <v>262.05809535391398</v>
      </c>
      <c r="M170" s="28"/>
      <c r="N170" s="28"/>
      <c r="O170" s="14"/>
      <c r="P170" s="13"/>
      <c r="Q170" s="15"/>
      <c r="R170" s="15"/>
      <c r="S170" s="20"/>
      <c r="T170" s="15"/>
      <c r="U170" s="127"/>
    </row>
    <row r="171" spans="1:21" x14ac:dyDescent="0.25">
      <c r="A171" s="53">
        <v>47</v>
      </c>
      <c r="B171" s="40">
        <v>91.38</v>
      </c>
      <c r="C171" s="17" t="s">
        <v>196</v>
      </c>
      <c r="D171" s="40" t="s">
        <v>61</v>
      </c>
      <c r="E171" s="17" t="s">
        <v>24</v>
      </c>
      <c r="F171" s="38">
        <v>18.722999999999999</v>
      </c>
      <c r="G171" s="38">
        <v>18.866</v>
      </c>
      <c r="H171" s="38">
        <f>G171-F171</f>
        <v>0.14300000000000068</v>
      </c>
      <c r="I171" s="16" t="s">
        <v>162</v>
      </c>
      <c r="J171" s="17" t="s">
        <v>169</v>
      </c>
      <c r="K171" s="38" t="s">
        <v>166</v>
      </c>
      <c r="L171" s="34" t="s">
        <v>167</v>
      </c>
      <c r="M171" s="38">
        <f>60*SUM(H171:H174)/B171</f>
        <v>0.35325016414970239</v>
      </c>
      <c r="N171" s="38">
        <f>100*SUM(H171:H174)/K174</f>
        <v>0.77995049654409965</v>
      </c>
      <c r="O171" s="17">
        <f>1000*SUM(H171:H174)/K174</f>
        <v>7.7995049654409963</v>
      </c>
      <c r="P171" s="16">
        <v>0.26119999999999999</v>
      </c>
      <c r="Q171" s="179">
        <f>SUM(P171:P174)/K174</f>
        <v>1.4916190815877863E-2</v>
      </c>
      <c r="R171" s="18"/>
      <c r="S171" s="452"/>
      <c r="T171" s="18"/>
      <c r="U171" s="126"/>
    </row>
    <row r="172" spans="1:21" x14ac:dyDescent="0.25">
      <c r="A172" s="53"/>
      <c r="B172" s="40"/>
      <c r="C172" s="17" t="s">
        <v>65</v>
      </c>
      <c r="D172" s="40">
        <v>304</v>
      </c>
      <c r="E172" s="17" t="s">
        <v>23</v>
      </c>
      <c r="F172" s="38">
        <v>18.957000000000001</v>
      </c>
      <c r="G172" s="38">
        <v>19.088999999999999</v>
      </c>
      <c r="H172" s="17">
        <f>G172-F172</f>
        <v>0.1319999999999979</v>
      </c>
      <c r="I172" s="16">
        <f>8-2*(0.4/2.54)</f>
        <v>7.6850393700787398</v>
      </c>
      <c r="J172" s="17">
        <f>16+6.5/12</f>
        <v>16.541666666666668</v>
      </c>
      <c r="K172" s="38">
        <v>0.17271910112359601</v>
      </c>
      <c r="L172" s="34">
        <f>I172*3.14159*J172</f>
        <v>399.36947522309714</v>
      </c>
      <c r="M172" s="38"/>
      <c r="N172" s="38"/>
      <c r="O172" s="17"/>
      <c r="P172" s="16">
        <v>0.25009999999999999</v>
      </c>
      <c r="Q172" s="18"/>
      <c r="R172" s="18"/>
      <c r="S172" s="452"/>
      <c r="T172" s="18"/>
      <c r="U172" s="126"/>
    </row>
    <row r="173" spans="1:21" x14ac:dyDescent="0.25">
      <c r="A173" s="53"/>
      <c r="B173" s="40"/>
      <c r="C173" s="17" t="s">
        <v>231</v>
      </c>
      <c r="D173" s="40"/>
      <c r="E173" s="17" t="s">
        <v>26</v>
      </c>
      <c r="F173" s="38">
        <v>18.408000000000001</v>
      </c>
      <c r="G173" s="38">
        <v>18.538</v>
      </c>
      <c r="H173" s="17">
        <f>G173-F173</f>
        <v>0.12999999999999901</v>
      </c>
      <c r="I173" s="39"/>
      <c r="J173" s="17"/>
      <c r="K173" s="98"/>
      <c r="L173" s="34"/>
      <c r="M173" s="38"/>
      <c r="N173" s="38"/>
      <c r="O173" s="17"/>
      <c r="P173" s="16">
        <v>0.26190000000000002</v>
      </c>
      <c r="Q173" s="18"/>
      <c r="R173" s="18"/>
      <c r="S173" s="452"/>
      <c r="T173" s="18"/>
      <c r="U173" s="126"/>
    </row>
    <row r="174" spans="1:21" x14ac:dyDescent="0.25">
      <c r="A174" s="53"/>
      <c r="B174" s="40"/>
      <c r="C174" s="17"/>
      <c r="D174" s="40"/>
      <c r="E174" s="17" t="s">
        <v>25</v>
      </c>
      <c r="F174" s="38">
        <v>19.324999999999999</v>
      </c>
      <c r="G174" s="38">
        <v>19.457999999999998</v>
      </c>
      <c r="H174" s="17">
        <f>G174-F174</f>
        <v>0.13299999999999912</v>
      </c>
      <c r="I174" s="461" t="s">
        <v>18</v>
      </c>
      <c r="J174" s="256"/>
      <c r="K174" s="38">
        <f>L172*K172</f>
        <v>68.978736776735587</v>
      </c>
      <c r="L174" s="34" t="s">
        <v>163</v>
      </c>
      <c r="M174" s="38"/>
      <c r="N174" s="38"/>
      <c r="O174" s="17"/>
      <c r="P174" s="16">
        <v>0.25569999999999998</v>
      </c>
      <c r="Q174" s="18"/>
      <c r="R174" s="18"/>
      <c r="S174" s="452"/>
      <c r="T174" s="18"/>
      <c r="U174" s="126"/>
    </row>
    <row r="175" spans="1:21" x14ac:dyDescent="0.25">
      <c r="A175" s="53"/>
      <c r="B175" s="40"/>
      <c r="C175" s="17"/>
      <c r="D175" s="40"/>
      <c r="E175" s="17"/>
      <c r="F175" s="38"/>
      <c r="G175" s="38"/>
      <c r="H175" s="17"/>
      <c r="I175" s="39"/>
      <c r="J175" s="17"/>
      <c r="K175" s="38"/>
      <c r="L175" s="34">
        <f>60*L172/B171</f>
        <v>262.22552542553984</v>
      </c>
      <c r="M175" s="38"/>
      <c r="N175" s="38"/>
      <c r="O175" s="17"/>
      <c r="P175" s="16"/>
      <c r="Q175" s="18"/>
      <c r="R175" s="18"/>
      <c r="S175" s="452"/>
      <c r="T175" s="18"/>
      <c r="U175" s="126"/>
    </row>
    <row r="176" spans="1:21" x14ac:dyDescent="0.25">
      <c r="A176" s="49">
        <v>48</v>
      </c>
      <c r="B176" s="36">
        <v>77.819999999999993</v>
      </c>
      <c r="C176" s="14" t="s">
        <v>199</v>
      </c>
      <c r="D176" s="36" t="s">
        <v>6</v>
      </c>
      <c r="E176" s="13" t="s">
        <v>24</v>
      </c>
      <c r="F176" s="28">
        <v>20.937000000000001</v>
      </c>
      <c r="G176" s="28">
        <v>21.135000000000002</v>
      </c>
      <c r="H176" s="23">
        <f>G176-F176</f>
        <v>0.1980000000000004</v>
      </c>
      <c r="I176" s="13" t="s">
        <v>162</v>
      </c>
      <c r="J176" s="14" t="s">
        <v>169</v>
      </c>
      <c r="K176" s="28" t="s">
        <v>166</v>
      </c>
      <c r="L176" s="32" t="s">
        <v>167</v>
      </c>
      <c r="M176" s="27">
        <f>60*SUM(H176:H179)/B176</f>
        <v>0.60138781804163821</v>
      </c>
      <c r="N176" s="28">
        <f>100*SUM(H176:H179)/K179</f>
        <v>0.82827422392155026</v>
      </c>
      <c r="O176" s="14">
        <f>1000*SUM(H176:H179)/K179</f>
        <v>8.2827422392155032</v>
      </c>
      <c r="P176" s="13">
        <v>1.61E-2</v>
      </c>
      <c r="Q176" s="178">
        <f>SUM(P176:P179)/K179</f>
        <v>6.8916662990395241E-4</v>
      </c>
      <c r="R176" s="15"/>
      <c r="S176" s="20">
        <v>9.5999999999999992E-3</v>
      </c>
      <c r="T176" s="15">
        <f>SUM(S176:S179)/K179</f>
        <v>4.1626089202210993E-4</v>
      </c>
      <c r="U176" s="436">
        <f>(Q176-T176)/T176</f>
        <v>0.65561224489795922</v>
      </c>
    </row>
    <row r="177" spans="1:22" x14ac:dyDescent="0.25">
      <c r="A177" s="49"/>
      <c r="B177" s="36"/>
      <c r="C177" s="14" t="s">
        <v>65</v>
      </c>
      <c r="D177" s="36" t="s">
        <v>62</v>
      </c>
      <c r="E177" s="13" t="s">
        <v>23</v>
      </c>
      <c r="F177" s="28">
        <v>21.266999999999999</v>
      </c>
      <c r="G177" s="28">
        <v>21.452000000000002</v>
      </c>
      <c r="H177" s="23">
        <f>G177-F177</f>
        <v>0.18500000000000227</v>
      </c>
      <c r="I177" s="13">
        <f>12-3/16-2*4/16</f>
        <v>11.3125</v>
      </c>
      <c r="J177" s="14">
        <f>15+2.5/12</f>
        <v>15.208333333333334</v>
      </c>
      <c r="K177" s="28">
        <v>0.17423312883435582</v>
      </c>
      <c r="L177" s="32">
        <f>I177*3.14159*J177</f>
        <v>540.49256080729174</v>
      </c>
      <c r="M177" s="27"/>
      <c r="N177" s="28"/>
      <c r="O177" s="14"/>
      <c r="P177" s="13">
        <v>1.5100000000000001E-2</v>
      </c>
      <c r="Q177" s="15"/>
      <c r="R177" s="15"/>
      <c r="S177" s="20">
        <v>9.7000000000000003E-3</v>
      </c>
      <c r="T177" s="438"/>
      <c r="U177" s="127"/>
      <c r="V177" s="18"/>
    </row>
    <row r="178" spans="1:22" x14ac:dyDescent="0.25">
      <c r="A178" s="49"/>
      <c r="B178" s="36"/>
      <c r="C178" s="14" t="s">
        <v>231</v>
      </c>
      <c r="D178" s="36" t="s">
        <v>63</v>
      </c>
      <c r="E178" s="13" t="s">
        <v>26</v>
      </c>
      <c r="F178" s="28">
        <v>19.614999999999998</v>
      </c>
      <c r="G178" s="28">
        <v>19.812000000000001</v>
      </c>
      <c r="H178" s="23">
        <f>G178-F178</f>
        <v>0.19700000000000273</v>
      </c>
      <c r="I178" s="15"/>
      <c r="J178" s="15"/>
      <c r="K178" s="102"/>
      <c r="L178" s="32"/>
      <c r="M178" s="27"/>
      <c r="N178" s="28"/>
      <c r="O178" s="14"/>
      <c r="P178" s="13">
        <v>1.54E-2</v>
      </c>
      <c r="Q178" s="15"/>
      <c r="R178" s="15"/>
      <c r="S178" s="20">
        <v>9.5999999999999992E-3</v>
      </c>
      <c r="T178" s="438"/>
      <c r="U178" s="127"/>
      <c r="V178" s="18"/>
    </row>
    <row r="179" spans="1:22" x14ac:dyDescent="0.25">
      <c r="A179" s="49"/>
      <c r="B179" s="36"/>
      <c r="C179" s="14"/>
      <c r="D179" s="13"/>
      <c r="E179" s="13" t="s">
        <v>25</v>
      </c>
      <c r="F179" s="28">
        <v>21.167000000000002</v>
      </c>
      <c r="G179" s="28">
        <v>21.367000000000001</v>
      </c>
      <c r="H179" s="14">
        <f>G179-F179</f>
        <v>0.19999999999999929</v>
      </c>
      <c r="I179" s="459" t="s">
        <v>18</v>
      </c>
      <c r="J179" s="460"/>
      <c r="K179" s="28">
        <f>L177*K177</f>
        <v>94.171709981147757</v>
      </c>
      <c r="L179" s="32" t="s">
        <v>163</v>
      </c>
      <c r="M179" s="27"/>
      <c r="N179" s="28"/>
      <c r="O179" s="14"/>
      <c r="P179" s="13">
        <v>1.83E-2</v>
      </c>
      <c r="Q179" s="15"/>
      <c r="R179" s="15"/>
      <c r="S179" s="20">
        <v>1.03E-2</v>
      </c>
      <c r="T179" s="438"/>
      <c r="U179" s="127"/>
      <c r="V179" s="18"/>
    </row>
    <row r="180" spans="1:22" x14ac:dyDescent="0.25">
      <c r="A180" s="49"/>
      <c r="B180" s="36"/>
      <c r="C180" s="14"/>
      <c r="D180" s="13"/>
      <c r="E180" s="13"/>
      <c r="F180" s="28"/>
      <c r="G180" s="28"/>
      <c r="H180" s="14"/>
      <c r="I180" s="13"/>
      <c r="J180" s="14"/>
      <c r="K180" s="28"/>
      <c r="L180" s="32">
        <f>60*L177/B176</f>
        <v>416.72518180978551</v>
      </c>
      <c r="M180" s="27"/>
      <c r="N180" s="28"/>
      <c r="O180" s="14"/>
      <c r="P180" s="13"/>
      <c r="Q180" s="15"/>
      <c r="R180" s="15"/>
      <c r="S180" s="20"/>
      <c r="T180" s="438"/>
      <c r="U180" s="127"/>
      <c r="V180" s="18"/>
    </row>
    <row r="181" spans="1:22" x14ac:dyDescent="0.25">
      <c r="A181" s="48">
        <v>49</v>
      </c>
      <c r="B181" s="40">
        <v>79.31</v>
      </c>
      <c r="C181" s="17" t="s">
        <v>199</v>
      </c>
      <c r="D181" s="16" t="s">
        <v>217</v>
      </c>
      <c r="E181" s="16" t="s">
        <v>24</v>
      </c>
      <c r="F181" s="38">
        <v>20.827999999999999</v>
      </c>
      <c r="G181" s="38">
        <v>21.02</v>
      </c>
      <c r="H181" s="17">
        <f>G181-F181</f>
        <v>0.19200000000000017</v>
      </c>
      <c r="I181" s="16" t="s">
        <v>162</v>
      </c>
      <c r="J181" s="17" t="s">
        <v>169</v>
      </c>
      <c r="K181" s="38" t="s">
        <v>166</v>
      </c>
      <c r="L181" s="34" t="s">
        <v>167</v>
      </c>
      <c r="M181" s="37">
        <f>60*SUM(H181:H184)/B181</f>
        <v>0.56436767116378661</v>
      </c>
      <c r="N181" s="38">
        <f>100*SUM(H181:H184)/K184</f>
        <v>0.79434625398561909</v>
      </c>
      <c r="O181" s="24">
        <f>1000*SUM(H181:H184)/K184</f>
        <v>7.9434625398561911</v>
      </c>
      <c r="P181" s="17">
        <v>1.55E-2</v>
      </c>
      <c r="Q181" s="179">
        <f>SUM(P181:P184)/K184</f>
        <v>1.0424463574422553E-3</v>
      </c>
      <c r="R181" s="12"/>
      <c r="S181" s="21">
        <v>9.1000000000000004E-3</v>
      </c>
      <c r="T181" s="18">
        <f>SUM(S181:S184)/K184</f>
        <v>4.0143235623670096E-4</v>
      </c>
      <c r="U181" s="284">
        <f>(Q181-T181)/T181</f>
        <v>1.5968169761273212</v>
      </c>
      <c r="V181" s="18"/>
    </row>
    <row r="182" spans="1:22" x14ac:dyDescent="0.25">
      <c r="A182" s="146"/>
      <c r="B182" s="40"/>
      <c r="C182" s="17" t="s">
        <v>65</v>
      </c>
      <c r="D182" s="16" t="s">
        <v>62</v>
      </c>
      <c r="E182" s="16" t="s">
        <v>23</v>
      </c>
      <c r="F182" s="38">
        <v>22.773</v>
      </c>
      <c r="G182" s="38">
        <v>22.948</v>
      </c>
      <c r="H182" s="17">
        <f>G182-F182</f>
        <v>0.17500000000000071</v>
      </c>
      <c r="I182" s="16">
        <f>11.8125-2*4/16</f>
        <v>11.3125</v>
      </c>
      <c r="J182" s="17">
        <f>15+2/12</f>
        <v>15.166666666666666</v>
      </c>
      <c r="K182" s="38">
        <v>0.17423312883435599</v>
      </c>
      <c r="L182" s="34">
        <f>I182*3.14159*J182</f>
        <v>539.01175927083329</v>
      </c>
      <c r="M182" s="37"/>
      <c r="N182" s="38"/>
      <c r="O182" s="24"/>
      <c r="P182" s="17">
        <v>2.9700000000000001E-2</v>
      </c>
      <c r="Q182" s="18"/>
      <c r="R182" s="12"/>
      <c r="S182" s="21">
        <v>9.1000000000000004E-3</v>
      </c>
      <c r="T182" s="151"/>
      <c r="U182" s="126"/>
      <c r="V182" s="18"/>
    </row>
    <row r="183" spans="1:22" x14ac:dyDescent="0.25">
      <c r="A183" s="146"/>
      <c r="B183" s="40"/>
      <c r="C183" s="17" t="s">
        <v>231</v>
      </c>
      <c r="D183" s="16" t="s">
        <v>63</v>
      </c>
      <c r="E183" s="16" t="s">
        <v>26</v>
      </c>
      <c r="F183" s="38">
        <v>22.489000000000001</v>
      </c>
      <c r="G183" s="38">
        <v>22.677</v>
      </c>
      <c r="H183" s="17">
        <f>G183-F183</f>
        <v>0.18799999999999883</v>
      </c>
      <c r="I183" s="39"/>
      <c r="J183" s="17"/>
      <c r="K183" s="98"/>
      <c r="L183" s="34"/>
      <c r="M183" s="37"/>
      <c r="N183" s="38"/>
      <c r="O183" s="24"/>
      <c r="P183" s="17">
        <v>2.5499999999999998E-2</v>
      </c>
      <c r="Q183" s="18"/>
      <c r="R183" s="12"/>
      <c r="S183" s="21">
        <v>9.7999999999999997E-3</v>
      </c>
      <c r="T183" s="151"/>
      <c r="U183" s="126"/>
      <c r="V183" s="18"/>
    </row>
    <row r="184" spans="1:22" x14ac:dyDescent="0.25">
      <c r="A184" s="146"/>
      <c r="B184" s="40"/>
      <c r="C184" s="17"/>
      <c r="D184" s="16"/>
      <c r="E184" s="16" t="s">
        <v>25</v>
      </c>
      <c r="F184" s="38">
        <v>18.984000000000002</v>
      </c>
      <c r="G184" s="38">
        <v>19.175000000000001</v>
      </c>
      <c r="H184" s="17">
        <f>G184-F184</f>
        <v>0.19099999999999895</v>
      </c>
      <c r="I184" s="461" t="s">
        <v>18</v>
      </c>
      <c r="J184" s="256"/>
      <c r="K184" s="38">
        <f>L182*K182</f>
        <v>93.913705296267977</v>
      </c>
      <c r="L184" s="34" t="s">
        <v>163</v>
      </c>
      <c r="M184" s="37"/>
      <c r="N184" s="38"/>
      <c r="O184" s="24"/>
      <c r="P184" s="17">
        <v>2.7199999999999998E-2</v>
      </c>
      <c r="Q184" s="18"/>
      <c r="R184" s="12"/>
      <c r="S184" s="21">
        <v>9.7000000000000003E-3</v>
      </c>
      <c r="T184" s="151"/>
      <c r="U184" s="126"/>
      <c r="V184" s="18"/>
    </row>
    <row r="185" spans="1:22" ht="13.8" thickBot="1" x14ac:dyDescent="0.3">
      <c r="A185" s="147"/>
      <c r="B185" s="55"/>
      <c r="C185" s="58"/>
      <c r="D185" s="57"/>
      <c r="E185" s="57"/>
      <c r="F185" s="60"/>
      <c r="G185" s="60"/>
      <c r="H185" s="58"/>
      <c r="I185" s="130"/>
      <c r="J185" s="58"/>
      <c r="K185" s="60"/>
      <c r="L185" s="61">
        <f>60*L182/B181</f>
        <v>407.77588647396288</v>
      </c>
      <c r="M185" s="62"/>
      <c r="N185" s="60"/>
      <c r="O185" s="59"/>
      <c r="P185" s="58"/>
      <c r="Q185" s="128"/>
      <c r="R185" s="89"/>
      <c r="S185" s="155"/>
      <c r="T185" s="283"/>
      <c r="U185" s="129"/>
      <c r="V185" s="18"/>
    </row>
    <row r="186" spans="1:22" x14ac:dyDescent="0.25">
      <c r="A186" s="18"/>
      <c r="B186" s="17"/>
      <c r="C186" s="19"/>
      <c r="D186" s="19"/>
      <c r="E186" s="17"/>
      <c r="F186" s="38"/>
      <c r="G186" s="38"/>
      <c r="H186" s="17"/>
      <c r="I186" s="100"/>
      <c r="J186" s="17"/>
      <c r="K186" s="38"/>
      <c r="L186" s="42"/>
      <c r="M186" s="38"/>
      <c r="N186" s="38"/>
      <c r="O186" s="17"/>
      <c r="T186" s="151"/>
      <c r="U186" s="18"/>
      <c r="V186" s="18"/>
    </row>
    <row r="187" spans="1:22" x14ac:dyDescent="0.25">
      <c r="A187" s="18"/>
      <c r="B187" s="17"/>
      <c r="C187" s="19"/>
      <c r="D187" s="19"/>
      <c r="E187" s="17"/>
      <c r="F187" s="38"/>
      <c r="G187" s="38"/>
      <c r="H187" s="17"/>
      <c r="I187" s="100"/>
      <c r="J187" s="17"/>
      <c r="K187" s="38"/>
      <c r="L187" s="42"/>
      <c r="M187" s="38"/>
      <c r="N187" s="38"/>
      <c r="O187" s="17"/>
      <c r="T187" s="151"/>
      <c r="U187" s="18"/>
      <c r="V187" s="18"/>
    </row>
    <row r="188" spans="1:22" x14ac:dyDescent="0.25">
      <c r="A188" s="18"/>
      <c r="B188" s="17"/>
      <c r="C188" s="17"/>
      <c r="D188" s="19"/>
      <c r="E188" s="17"/>
      <c r="F188" s="38"/>
      <c r="G188" s="38"/>
      <c r="H188" s="17"/>
      <c r="I188" s="100"/>
      <c r="J188" s="17"/>
      <c r="K188" s="38"/>
      <c r="L188" s="42"/>
      <c r="M188" s="38"/>
      <c r="N188" s="38"/>
      <c r="O188" s="17"/>
      <c r="T188" s="151"/>
      <c r="U188" s="18"/>
      <c r="V188" s="18"/>
    </row>
    <row r="189" spans="1:22" x14ac:dyDescent="0.25">
      <c r="A189" s="18"/>
      <c r="B189" s="17"/>
      <c r="C189" s="17"/>
      <c r="D189" s="17"/>
      <c r="E189" s="17"/>
      <c r="F189" s="38"/>
      <c r="G189" s="38"/>
      <c r="H189" s="17"/>
      <c r="I189" s="100"/>
      <c r="J189" s="17"/>
      <c r="K189" s="38"/>
      <c r="L189" s="42"/>
      <c r="M189" s="38"/>
      <c r="N189" s="38"/>
      <c r="O189" s="17"/>
      <c r="T189" s="151"/>
      <c r="U189" s="18"/>
      <c r="V189" s="18"/>
    </row>
    <row r="190" spans="1:22" x14ac:dyDescent="0.25">
      <c r="A190" s="18"/>
      <c r="B190" s="17"/>
      <c r="C190" s="17"/>
      <c r="D190" s="17"/>
      <c r="E190" s="17"/>
      <c r="F190" s="38"/>
      <c r="G190" s="38"/>
      <c r="H190" s="17"/>
      <c r="I190" s="100"/>
      <c r="J190" s="17"/>
      <c r="K190" s="38"/>
      <c r="L190" s="42"/>
      <c r="M190" s="38"/>
      <c r="N190" s="38"/>
      <c r="O190" s="17"/>
      <c r="T190" s="151"/>
      <c r="U190" s="18"/>
      <c r="V190" s="18"/>
    </row>
    <row r="191" spans="1:22" x14ac:dyDescent="0.25">
      <c r="A191" s="18"/>
      <c r="B191" s="17"/>
      <c r="C191" s="17"/>
      <c r="D191" s="17"/>
      <c r="E191" s="17"/>
      <c r="F191" s="38"/>
      <c r="G191" s="38"/>
      <c r="H191" s="17"/>
      <c r="I191" s="100"/>
      <c r="J191" s="17"/>
      <c r="K191" s="38"/>
      <c r="L191" s="42"/>
      <c r="M191" s="38"/>
      <c r="N191" s="38"/>
      <c r="O191" s="17"/>
      <c r="T191" s="151"/>
      <c r="U191" s="18"/>
      <c r="V191" s="18"/>
    </row>
    <row r="192" spans="1:22" x14ac:dyDescent="0.25">
      <c r="A192" s="18"/>
      <c r="B192" s="17"/>
      <c r="C192" s="17"/>
      <c r="D192" s="17"/>
      <c r="E192" s="17"/>
      <c r="F192" s="38"/>
      <c r="G192" s="38"/>
      <c r="H192" s="17"/>
      <c r="I192" s="100"/>
      <c r="J192" s="17"/>
      <c r="K192" s="38"/>
      <c r="L192" s="42"/>
      <c r="M192" s="38"/>
      <c r="N192" s="38"/>
      <c r="O192" s="17"/>
      <c r="T192" s="151"/>
      <c r="U192" s="18"/>
      <c r="V192" s="18"/>
    </row>
    <row r="193" spans="1:46" ht="15.6" x14ac:dyDescent="0.3">
      <c r="A193" s="71" t="s">
        <v>242</v>
      </c>
      <c r="B193" s="17"/>
      <c r="C193" s="17"/>
      <c r="D193" s="17"/>
      <c r="E193" s="17"/>
      <c r="F193" s="38"/>
      <c r="G193" s="38"/>
      <c r="H193" s="17"/>
      <c r="I193" s="100"/>
      <c r="J193" s="17"/>
      <c r="K193" s="38"/>
      <c r="L193" s="42"/>
      <c r="M193" s="38"/>
      <c r="N193" s="38"/>
      <c r="O193" s="17"/>
      <c r="P193" s="17"/>
      <c r="Q193" s="18"/>
      <c r="R193" s="18"/>
      <c r="T193" s="151"/>
      <c r="U193" s="18"/>
      <c r="V193" s="18"/>
    </row>
    <row r="194" spans="1:46" x14ac:dyDescent="0.25">
      <c r="A194" s="17"/>
      <c r="B194" s="17"/>
      <c r="C194" s="17"/>
      <c r="D194" s="17"/>
      <c r="E194" s="17"/>
      <c r="F194" s="38"/>
      <c r="G194" s="38"/>
      <c r="H194" s="17"/>
      <c r="I194" s="100"/>
      <c r="J194" s="17"/>
      <c r="K194" s="38"/>
      <c r="L194" s="42"/>
      <c r="M194" s="38"/>
      <c r="N194" s="38"/>
      <c r="O194" s="17"/>
      <c r="P194" s="17"/>
      <c r="Q194" s="18"/>
      <c r="R194" s="18"/>
      <c r="T194" s="151"/>
      <c r="U194" s="18"/>
      <c r="V194" s="18"/>
    </row>
    <row r="195" spans="1:46" ht="13.8" thickBot="1" x14ac:dyDescent="0.3">
      <c r="A195" s="17"/>
      <c r="B195" s="17"/>
      <c r="C195" s="17"/>
      <c r="D195" s="17"/>
      <c r="E195" s="17"/>
      <c r="F195" s="38"/>
      <c r="G195" s="38"/>
      <c r="H195" s="17"/>
      <c r="I195" s="100"/>
      <c r="J195" s="17"/>
      <c r="K195" s="38"/>
      <c r="L195" s="42"/>
      <c r="M195" s="38"/>
      <c r="N195" s="38"/>
      <c r="O195" s="17"/>
      <c r="P195" s="17"/>
      <c r="Q195" s="18"/>
      <c r="R195" s="18"/>
      <c r="T195" s="151"/>
      <c r="U195" s="18"/>
      <c r="V195" s="18"/>
    </row>
    <row r="196" spans="1:46" x14ac:dyDescent="0.25">
      <c r="A196" s="121" t="s">
        <v>21</v>
      </c>
      <c r="B196" s="122" t="s">
        <v>60</v>
      </c>
      <c r="C196" s="122" t="s">
        <v>14</v>
      </c>
      <c r="D196" s="123" t="s">
        <v>3</v>
      </c>
      <c r="E196" s="472" t="s">
        <v>13</v>
      </c>
      <c r="F196" s="469"/>
      <c r="G196" s="469"/>
      <c r="H196" s="473"/>
      <c r="I196" s="472" t="s">
        <v>168</v>
      </c>
      <c r="J196" s="469"/>
      <c r="K196" s="469"/>
      <c r="L196" s="473"/>
      <c r="M196" s="469" t="s">
        <v>30</v>
      </c>
      <c r="N196" s="469"/>
      <c r="O196" s="469"/>
      <c r="P196" s="470" t="s">
        <v>106</v>
      </c>
      <c r="Q196" s="471"/>
      <c r="R196" s="471"/>
      <c r="S196" s="470" t="s">
        <v>337</v>
      </c>
      <c r="T196" s="471"/>
      <c r="U196" s="480"/>
      <c r="V196" s="18"/>
    </row>
    <row r="197" spans="1:46" x14ac:dyDescent="0.25">
      <c r="A197" s="124"/>
      <c r="B197" s="116"/>
      <c r="C197" s="116"/>
      <c r="D197" s="17"/>
      <c r="E197" s="77"/>
      <c r="F197" s="94" t="s">
        <v>10</v>
      </c>
      <c r="G197" s="94" t="s">
        <v>11</v>
      </c>
      <c r="H197" s="149" t="s">
        <v>12</v>
      </c>
      <c r="I197" s="77"/>
      <c r="J197" s="99"/>
      <c r="K197" s="94"/>
      <c r="L197" s="119"/>
      <c r="M197" s="94" t="s">
        <v>9</v>
      </c>
      <c r="N197" s="94" t="s">
        <v>15</v>
      </c>
      <c r="O197" s="99" t="s">
        <v>20</v>
      </c>
      <c r="P197" s="77" t="s">
        <v>52</v>
      </c>
      <c r="Q197" s="101" t="s">
        <v>55</v>
      </c>
      <c r="R197" s="99" t="s">
        <v>51</v>
      </c>
      <c r="S197" s="77" t="s">
        <v>52</v>
      </c>
      <c r="T197" s="101" t="s">
        <v>55</v>
      </c>
      <c r="U197" s="83" t="s">
        <v>328</v>
      </c>
    </row>
    <row r="198" spans="1:46" x14ac:dyDescent="0.25">
      <c r="A198" s="125"/>
      <c r="B198" s="117" t="s">
        <v>76</v>
      </c>
      <c r="C198" s="117"/>
      <c r="D198" s="92"/>
      <c r="E198" s="91"/>
      <c r="F198" s="95" t="s">
        <v>4</v>
      </c>
      <c r="G198" s="95" t="s">
        <v>4</v>
      </c>
      <c r="H198" s="150" t="s">
        <v>4</v>
      </c>
      <c r="I198" s="91"/>
      <c r="J198" s="92"/>
      <c r="K198" s="92"/>
      <c r="L198" s="120"/>
      <c r="M198" s="95" t="s">
        <v>1</v>
      </c>
      <c r="N198" s="95"/>
      <c r="O198" s="92"/>
      <c r="P198" s="16" t="s">
        <v>54</v>
      </c>
      <c r="Q198" s="72" t="s">
        <v>20</v>
      </c>
      <c r="R198" s="17" t="s">
        <v>20</v>
      </c>
      <c r="S198" s="16" t="s">
        <v>54</v>
      </c>
      <c r="T198" s="72" t="s">
        <v>20</v>
      </c>
      <c r="U198" s="113"/>
    </row>
    <row r="199" spans="1:46" x14ac:dyDescent="0.25">
      <c r="A199" s="135"/>
      <c r="B199" s="40"/>
      <c r="C199" s="40"/>
      <c r="D199" s="17"/>
      <c r="E199" s="16"/>
      <c r="F199" s="38"/>
      <c r="G199" s="38"/>
      <c r="H199" s="24"/>
      <c r="I199" s="39"/>
      <c r="J199" s="17"/>
      <c r="K199" s="38"/>
      <c r="L199" s="34"/>
      <c r="M199" s="38"/>
      <c r="N199" s="38"/>
      <c r="O199" s="17"/>
      <c r="P199" s="16"/>
      <c r="Q199" s="18"/>
      <c r="R199" s="12"/>
      <c r="S199" s="21"/>
      <c r="T199" s="12"/>
      <c r="U199" s="133"/>
    </row>
    <row r="200" spans="1:46" s="447" customFormat="1" x14ac:dyDescent="0.25">
      <c r="A200" s="439">
        <v>50</v>
      </c>
      <c r="B200" s="440">
        <v>76.16</v>
      </c>
      <c r="C200" s="176" t="s">
        <v>199</v>
      </c>
      <c r="D200" s="440" t="s">
        <v>6</v>
      </c>
      <c r="E200" s="176" t="s">
        <v>219</v>
      </c>
      <c r="F200" s="481" t="s">
        <v>220</v>
      </c>
      <c r="G200" s="481"/>
      <c r="H200" s="176">
        <f>AVERAGE(H201:H203)</f>
        <v>0.21233333333333468</v>
      </c>
      <c r="I200" s="441" t="s">
        <v>162</v>
      </c>
      <c r="J200" s="176" t="s">
        <v>169</v>
      </c>
      <c r="K200" s="402" t="s">
        <v>166</v>
      </c>
      <c r="L200" s="442" t="s">
        <v>167</v>
      </c>
      <c r="M200" s="402">
        <f>60*SUM(H200:H203)/B200</f>
        <v>0.66911764705882781</v>
      </c>
      <c r="N200" s="402">
        <f>100*SUM(H200:H203)/K203</f>
        <v>0.9149557442488413</v>
      </c>
      <c r="O200" s="176">
        <f>1000*SUM(H200:H203)/K203</f>
        <v>9.1495574424884119</v>
      </c>
      <c r="P200" s="441"/>
      <c r="Q200" s="443">
        <f>2*SUM(P200:P203)/K203</f>
        <v>1.5921953571425966E-3</v>
      </c>
      <c r="R200" s="444"/>
      <c r="S200" s="445"/>
      <c r="T200" s="444"/>
      <c r="U200" s="446"/>
      <c r="V200" s="93"/>
      <c r="W200" s="93"/>
      <c r="X200" s="93"/>
      <c r="Y200" s="93"/>
      <c r="Z200" s="93"/>
      <c r="AA200" s="93"/>
      <c r="AB200" s="93"/>
      <c r="AC200" s="93"/>
      <c r="AD200" s="93"/>
      <c r="AE200" s="93"/>
      <c r="AF200" s="93"/>
      <c r="AG200" s="93"/>
      <c r="AH200" s="93"/>
      <c r="AI200" s="93"/>
      <c r="AJ200" s="93"/>
      <c r="AK200" s="93"/>
      <c r="AL200" s="93"/>
      <c r="AM200" s="93"/>
      <c r="AN200" s="93"/>
      <c r="AO200" s="93"/>
      <c r="AP200" s="93"/>
      <c r="AQ200" s="93"/>
      <c r="AR200" s="93"/>
      <c r="AS200" s="93"/>
      <c r="AT200" s="93"/>
    </row>
    <row r="201" spans="1:46" s="447" customFormat="1" x14ac:dyDescent="0.25">
      <c r="A201" s="439"/>
      <c r="B201" s="440"/>
      <c r="C201" s="176" t="s">
        <v>65</v>
      </c>
      <c r="D201" s="440" t="s">
        <v>62</v>
      </c>
      <c r="E201" s="176" t="s">
        <v>193</v>
      </c>
      <c r="F201" s="402">
        <v>17.709</v>
      </c>
      <c r="G201" s="402">
        <v>17.917000000000002</v>
      </c>
      <c r="H201" s="176">
        <f>G201-F201</f>
        <v>0.20800000000000196</v>
      </c>
      <c r="I201" s="441">
        <f>12-3/16-2*3/10</f>
        <v>11.2125</v>
      </c>
      <c r="J201" s="176">
        <f>15+1.5/12</f>
        <v>15.125</v>
      </c>
      <c r="K201" s="402">
        <v>0.17423312883435582</v>
      </c>
      <c r="L201" s="442">
        <f>I201*3.14159*J201</f>
        <v>532.77930285937498</v>
      </c>
      <c r="M201" s="402"/>
      <c r="N201" s="402"/>
      <c r="O201" s="176"/>
      <c r="P201" s="441">
        <v>3.7100000000000001E-2</v>
      </c>
      <c r="Q201" s="444"/>
      <c r="R201" s="444"/>
      <c r="S201" s="445"/>
      <c r="T201" s="444"/>
      <c r="U201" s="446"/>
      <c r="V201" s="93"/>
      <c r="W201" s="93"/>
      <c r="X201" s="93"/>
      <c r="Y201" s="93"/>
      <c r="Z201" s="93"/>
      <c r="AA201" s="93"/>
      <c r="AB201" s="93"/>
      <c r="AC201" s="93"/>
      <c r="AD201" s="93"/>
      <c r="AE201" s="93"/>
      <c r="AF201" s="93"/>
      <c r="AG201" s="93"/>
      <c r="AH201" s="93"/>
      <c r="AI201" s="93"/>
      <c r="AJ201" s="93"/>
      <c r="AK201" s="93"/>
      <c r="AL201" s="93"/>
      <c r="AM201" s="93"/>
      <c r="AN201" s="93"/>
      <c r="AO201" s="93"/>
      <c r="AP201" s="93"/>
      <c r="AQ201" s="93"/>
      <c r="AR201" s="93"/>
      <c r="AS201" s="93"/>
      <c r="AT201" s="93"/>
    </row>
    <row r="202" spans="1:46" s="447" customFormat="1" x14ac:dyDescent="0.25">
      <c r="A202" s="439"/>
      <c r="B202" s="440"/>
      <c r="C202" s="176" t="s">
        <v>231</v>
      </c>
      <c r="D202" s="440" t="s">
        <v>63</v>
      </c>
      <c r="E202" s="176" t="s">
        <v>26</v>
      </c>
      <c r="F202" s="402">
        <v>17.757999999999999</v>
      </c>
      <c r="G202" s="402">
        <v>17.981999999999999</v>
      </c>
      <c r="H202" s="176">
        <f>G202-F202</f>
        <v>0.2240000000000002</v>
      </c>
      <c r="I202" s="448"/>
      <c r="J202" s="176"/>
      <c r="K202" s="402"/>
      <c r="L202" s="442"/>
      <c r="M202" s="402"/>
      <c r="N202" s="402"/>
      <c r="O202" s="176"/>
      <c r="P202" s="441">
        <v>3.6799999999999999E-2</v>
      </c>
      <c r="Q202" s="444"/>
      <c r="R202" s="444"/>
      <c r="S202" s="445"/>
      <c r="T202" s="444"/>
      <c r="U202" s="446"/>
      <c r="V202" s="93"/>
      <c r="W202" s="93"/>
      <c r="X202" s="93"/>
      <c r="Y202" s="93"/>
      <c r="Z202" s="93"/>
      <c r="AA202" s="93"/>
      <c r="AB202" s="93"/>
      <c r="AC202" s="93"/>
      <c r="AD202" s="93"/>
      <c r="AE202" s="93"/>
      <c r="AF202" s="93"/>
      <c r="AG202" s="93"/>
      <c r="AH202" s="93"/>
      <c r="AI202" s="93"/>
      <c r="AJ202" s="93"/>
      <c r="AK202" s="93"/>
      <c r="AL202" s="93"/>
      <c r="AM202" s="93"/>
      <c r="AN202" s="93"/>
      <c r="AO202" s="93"/>
      <c r="AP202" s="93"/>
      <c r="AQ202" s="93"/>
      <c r="AR202" s="93"/>
      <c r="AS202" s="93"/>
      <c r="AT202" s="93"/>
    </row>
    <row r="203" spans="1:46" s="447" customFormat="1" x14ac:dyDescent="0.25">
      <c r="A203" s="439"/>
      <c r="B203" s="440"/>
      <c r="C203" s="176"/>
      <c r="D203" s="440"/>
      <c r="E203" s="176" t="s">
        <v>25</v>
      </c>
      <c r="F203" s="402">
        <v>16.606999999999999</v>
      </c>
      <c r="G203" s="402">
        <v>16.812000000000001</v>
      </c>
      <c r="H203" s="176">
        <f>G203-F203</f>
        <v>0.20500000000000185</v>
      </c>
      <c r="I203" s="482" t="s">
        <v>18</v>
      </c>
      <c r="J203" s="483"/>
      <c r="K203" s="402">
        <f>L201*K201</f>
        <v>92.827804915375765</v>
      </c>
      <c r="L203" s="442" t="s">
        <v>163</v>
      </c>
      <c r="M203" s="402"/>
      <c r="N203" s="402"/>
      <c r="O203" s="176"/>
      <c r="P203" s="441"/>
      <c r="Q203" s="444"/>
      <c r="R203" s="444"/>
      <c r="S203" s="445"/>
      <c r="T203" s="444"/>
      <c r="U203" s="446"/>
      <c r="V203" s="93"/>
      <c r="W203" s="93"/>
      <c r="X203" s="93"/>
      <c r="Y203" s="93"/>
      <c r="Z203" s="93"/>
      <c r="AA203" s="93"/>
      <c r="AB203" s="93"/>
      <c r="AC203" s="93"/>
      <c r="AD203" s="93"/>
      <c r="AE203" s="93"/>
      <c r="AF203" s="93"/>
      <c r="AG203" s="93"/>
      <c r="AH203" s="93"/>
      <c r="AI203" s="93"/>
      <c r="AJ203" s="93"/>
      <c r="AK203" s="93"/>
      <c r="AL203" s="93"/>
      <c r="AM203" s="93"/>
      <c r="AN203" s="93"/>
      <c r="AO203" s="93"/>
      <c r="AP203" s="93"/>
      <c r="AQ203" s="93"/>
      <c r="AR203" s="93"/>
      <c r="AS203" s="93"/>
      <c r="AT203" s="93"/>
    </row>
    <row r="204" spans="1:46" s="447" customFormat="1" x14ac:dyDescent="0.25">
      <c r="A204" s="439"/>
      <c r="B204" s="440"/>
      <c r="C204" s="176"/>
      <c r="D204" s="440"/>
      <c r="E204" s="176"/>
      <c r="F204" s="402"/>
      <c r="G204" s="402"/>
      <c r="H204" s="176"/>
      <c r="I204" s="441"/>
      <c r="J204" s="176"/>
      <c r="K204" s="402"/>
      <c r="L204" s="442">
        <f>60*L201/B200</f>
        <v>419.73159363921349</v>
      </c>
      <c r="M204" s="402"/>
      <c r="N204" s="402"/>
      <c r="O204" s="176"/>
      <c r="P204" s="441"/>
      <c r="Q204" s="444"/>
      <c r="R204" s="444"/>
      <c r="S204" s="445"/>
      <c r="T204" s="444"/>
      <c r="U204" s="446"/>
      <c r="V204" s="93"/>
      <c r="W204" s="93"/>
      <c r="X204" s="93"/>
      <c r="Y204" s="93"/>
      <c r="Z204" s="93"/>
      <c r="AA204" s="93"/>
      <c r="AB204" s="93"/>
      <c r="AC204" s="93"/>
      <c r="AD204" s="93"/>
      <c r="AE204" s="93"/>
      <c r="AF204" s="93"/>
      <c r="AG204" s="93"/>
      <c r="AH204" s="93"/>
      <c r="AI204" s="93"/>
      <c r="AJ204" s="93"/>
      <c r="AK204" s="93"/>
      <c r="AL204" s="93"/>
      <c r="AM204" s="93"/>
      <c r="AN204" s="93"/>
      <c r="AO204" s="93"/>
      <c r="AP204" s="93"/>
      <c r="AQ204" s="93"/>
      <c r="AR204" s="93"/>
      <c r="AS204" s="93"/>
      <c r="AT204" s="93"/>
    </row>
    <row r="205" spans="1:46" x14ac:dyDescent="0.25">
      <c r="A205" s="53">
        <v>51</v>
      </c>
      <c r="B205" s="40">
        <v>88.5</v>
      </c>
      <c r="C205" s="17" t="s">
        <v>196</v>
      </c>
      <c r="D205" s="40" t="s">
        <v>61</v>
      </c>
      <c r="E205" s="17" t="s">
        <v>24</v>
      </c>
      <c r="F205" s="38">
        <v>17.457999999999998</v>
      </c>
      <c r="G205" s="38">
        <v>17.619</v>
      </c>
      <c r="H205" s="17">
        <f>G205-F205</f>
        <v>0.16100000000000136</v>
      </c>
      <c r="I205" s="16" t="s">
        <v>162</v>
      </c>
      <c r="J205" s="17" t="s">
        <v>169</v>
      </c>
      <c r="K205" s="38" t="s">
        <v>166</v>
      </c>
      <c r="L205" s="34" t="s">
        <v>167</v>
      </c>
      <c r="M205" s="38">
        <f>60*SUM(H205:H208)/B205</f>
        <v>0.44067796610169635</v>
      </c>
      <c r="N205" s="38">
        <f>100*SUM(H205:H208)/K208</f>
        <v>0.96169869187606594</v>
      </c>
      <c r="O205" s="17">
        <f>1000*SUM(H205:H208)/K208</f>
        <v>9.6169869187606594</v>
      </c>
      <c r="P205" s="16">
        <v>0.23810000000000001</v>
      </c>
      <c r="Q205" s="179">
        <f>2*SUM(P205:P208)/K208</f>
        <v>1.4271608587440773E-2</v>
      </c>
      <c r="R205" s="18"/>
      <c r="S205" s="21"/>
      <c r="T205" s="12"/>
      <c r="U205" s="133"/>
    </row>
    <row r="206" spans="1:46" x14ac:dyDescent="0.25">
      <c r="A206" s="53"/>
      <c r="B206" s="40"/>
      <c r="C206" s="17" t="s">
        <v>65</v>
      </c>
      <c r="D206" s="40">
        <v>304</v>
      </c>
      <c r="E206" s="17" t="s">
        <v>23</v>
      </c>
      <c r="F206" s="38">
        <v>16.940000000000001</v>
      </c>
      <c r="G206" s="38">
        <v>17.109000000000002</v>
      </c>
      <c r="H206" s="17">
        <f>G206-F206</f>
        <v>0.16900000000000048</v>
      </c>
      <c r="I206" s="16">
        <f>8-2*0.4/2.54</f>
        <v>7.6850393700787398</v>
      </c>
      <c r="J206" s="17">
        <f>16+2.5/12</f>
        <v>16.208333333333332</v>
      </c>
      <c r="K206" s="38">
        <v>0.17271910112359601</v>
      </c>
      <c r="L206" s="34">
        <f>I206*3.14159*J206</f>
        <v>391.32172761154851</v>
      </c>
      <c r="M206" s="38"/>
      <c r="N206" s="38"/>
      <c r="O206" s="17"/>
      <c r="P206" s="16"/>
      <c r="Q206" s="18"/>
      <c r="R206" s="18"/>
      <c r="S206" s="21"/>
      <c r="T206" s="12"/>
      <c r="U206" s="133"/>
    </row>
    <row r="207" spans="1:46" x14ac:dyDescent="0.25">
      <c r="A207" s="53"/>
      <c r="B207" s="40"/>
      <c r="C207" s="17" t="s">
        <v>231</v>
      </c>
      <c r="D207" s="40"/>
      <c r="E207" s="17" t="s">
        <v>26</v>
      </c>
      <c r="F207" s="38">
        <v>18.140999999999998</v>
      </c>
      <c r="G207" s="38">
        <v>18.306999999999999</v>
      </c>
      <c r="H207" s="17">
        <f>G207-F207</f>
        <v>0.16600000000000037</v>
      </c>
      <c r="I207" s="39"/>
      <c r="J207" s="17"/>
      <c r="K207" s="98"/>
      <c r="L207" s="34"/>
      <c r="M207" s="38"/>
      <c r="N207" s="38"/>
      <c r="O207" s="17"/>
      <c r="P207" s="16"/>
      <c r="Q207" s="18"/>
      <c r="R207" s="18"/>
      <c r="S207" s="21"/>
      <c r="T207" s="12"/>
      <c r="U207" s="133"/>
    </row>
    <row r="208" spans="1:46" x14ac:dyDescent="0.25">
      <c r="A208" s="53"/>
      <c r="B208" s="40"/>
      <c r="C208" s="17"/>
      <c r="D208" s="40"/>
      <c r="E208" s="17" t="s">
        <v>25</v>
      </c>
      <c r="F208" s="38">
        <v>16.486999999999998</v>
      </c>
      <c r="G208" s="38">
        <v>16.640999999999998</v>
      </c>
      <c r="H208" s="17">
        <f>G208-F208</f>
        <v>0.15399999999999991</v>
      </c>
      <c r="I208" s="461" t="s">
        <v>18</v>
      </c>
      <c r="J208" s="256"/>
      <c r="K208" s="38">
        <f>L206*K206</f>
        <v>67.588737043199345</v>
      </c>
      <c r="L208" s="34" t="s">
        <v>163</v>
      </c>
      <c r="M208" s="38"/>
      <c r="N208" s="38"/>
      <c r="O208" s="17"/>
      <c r="P208" s="16">
        <v>0.2442</v>
      </c>
      <c r="Q208" s="18"/>
      <c r="R208" s="18"/>
      <c r="S208" s="21"/>
      <c r="T208" s="12"/>
      <c r="U208" s="133"/>
    </row>
    <row r="209" spans="1:21" x14ac:dyDescent="0.25">
      <c r="A209" s="53"/>
      <c r="B209" s="40"/>
      <c r="C209" s="17"/>
      <c r="D209" s="40"/>
      <c r="E209" s="17"/>
      <c r="F209" s="38"/>
      <c r="G209" s="38"/>
      <c r="H209" s="17"/>
      <c r="I209" s="39"/>
      <c r="J209" s="17"/>
      <c r="K209" s="38"/>
      <c r="L209" s="34">
        <f>60*L206/B205</f>
        <v>265.30286617732105</v>
      </c>
      <c r="M209" s="38"/>
      <c r="N209" s="38"/>
      <c r="O209" s="17"/>
      <c r="P209" s="16"/>
      <c r="Q209" s="18"/>
      <c r="R209" s="18"/>
      <c r="S209" s="21"/>
      <c r="T209" s="12"/>
      <c r="U209" s="133"/>
    </row>
    <row r="210" spans="1:21" x14ac:dyDescent="0.25">
      <c r="A210" s="49">
        <v>52</v>
      </c>
      <c r="B210" s="36">
        <v>87.84</v>
      </c>
      <c r="C210" s="14" t="s">
        <v>196</v>
      </c>
      <c r="D210" s="36" t="s">
        <v>61</v>
      </c>
      <c r="E210" s="14" t="s">
        <v>24</v>
      </c>
      <c r="F210" s="28">
        <v>17.321000000000002</v>
      </c>
      <c r="G210" s="28">
        <v>17.486000000000001</v>
      </c>
      <c r="H210" s="14">
        <f>G210-F210</f>
        <v>0.16499999999999915</v>
      </c>
      <c r="I210" s="13" t="s">
        <v>162</v>
      </c>
      <c r="J210" s="14" t="s">
        <v>169</v>
      </c>
      <c r="K210" s="28" t="s">
        <v>166</v>
      </c>
      <c r="L210" s="32" t="s">
        <v>167</v>
      </c>
      <c r="M210" s="28">
        <f>60*SUM(H210:H213)/B210</f>
        <v>0.44398907103824914</v>
      </c>
      <c r="N210" s="28">
        <f>100*SUM(H210:H213)/K213</f>
        <v>0.96417729675202724</v>
      </c>
      <c r="O210" s="14">
        <f>1000*SUM(H210:H213)/K213</f>
        <v>9.6417729675202715</v>
      </c>
      <c r="P210" s="13">
        <v>0.22359999999999999</v>
      </c>
      <c r="Q210" s="178">
        <f>2*SUM(P210:P213)/K213</f>
        <v>1.3234445910187119E-2</v>
      </c>
      <c r="R210" s="15"/>
      <c r="S210" s="20"/>
      <c r="T210" s="15"/>
      <c r="U210" s="127"/>
    </row>
    <row r="211" spans="1:21" x14ac:dyDescent="0.25">
      <c r="A211" s="49"/>
      <c r="B211" s="36"/>
      <c r="C211" s="14" t="s">
        <v>65</v>
      </c>
      <c r="D211" s="36">
        <v>304</v>
      </c>
      <c r="E211" s="14" t="s">
        <v>23</v>
      </c>
      <c r="F211" s="28">
        <v>16.762</v>
      </c>
      <c r="G211" s="28">
        <v>16.923999999999999</v>
      </c>
      <c r="H211" s="14">
        <f>G211-F211</f>
        <v>0.16199999999999903</v>
      </c>
      <c r="I211" s="13">
        <f>8-2*0.4/2.54</f>
        <v>7.6850393700787398</v>
      </c>
      <c r="J211" s="14">
        <f>16+2/12</f>
        <v>16.166666666666668</v>
      </c>
      <c r="K211" s="28">
        <v>0.17271910112359601</v>
      </c>
      <c r="L211" s="32">
        <f>I211*3.14159*J211</f>
        <v>390.31575916010502</v>
      </c>
      <c r="M211" s="28"/>
      <c r="N211" s="28"/>
      <c r="O211" s="14"/>
      <c r="P211" s="13"/>
      <c r="Q211" s="15"/>
      <c r="R211" s="15"/>
      <c r="S211" s="20"/>
      <c r="T211" s="15"/>
      <c r="U211" s="127"/>
    </row>
    <row r="212" spans="1:21" x14ac:dyDescent="0.25">
      <c r="A212" s="49"/>
      <c r="B212" s="36"/>
      <c r="C212" s="14" t="s">
        <v>231</v>
      </c>
      <c r="D212" s="36"/>
      <c r="E212" s="14" t="s">
        <v>26</v>
      </c>
      <c r="F212" s="28">
        <v>15.651</v>
      </c>
      <c r="G212" s="28">
        <v>15.815</v>
      </c>
      <c r="H212" s="14">
        <f>G212-F212</f>
        <v>0.1639999999999997</v>
      </c>
      <c r="I212" s="20"/>
      <c r="J212" s="15"/>
      <c r="K212" s="102"/>
      <c r="L212" s="32"/>
      <c r="M212" s="28"/>
      <c r="N212" s="28"/>
      <c r="O212" s="14"/>
      <c r="P212" s="13"/>
      <c r="Q212" s="15"/>
      <c r="R212" s="15"/>
      <c r="S212" s="20"/>
      <c r="T212" s="15"/>
      <c r="U212" s="127"/>
    </row>
    <row r="213" spans="1:21" x14ac:dyDescent="0.25">
      <c r="A213" s="49"/>
      <c r="B213" s="36"/>
      <c r="C213" s="14"/>
      <c r="D213" s="36"/>
      <c r="E213" s="14" t="s">
        <v>25</v>
      </c>
      <c r="F213" s="28">
        <v>16.206</v>
      </c>
      <c r="G213" s="28">
        <v>16.364999999999998</v>
      </c>
      <c r="H213" s="14">
        <f>G213-F213</f>
        <v>0.15899999999999892</v>
      </c>
      <c r="I213" s="459" t="s">
        <v>18</v>
      </c>
      <c r="J213" s="460"/>
      <c r="K213" s="28">
        <f>L211*K211</f>
        <v>67.41498707650733</v>
      </c>
      <c r="L213" s="32" t="s">
        <v>163</v>
      </c>
      <c r="M213" s="28"/>
      <c r="N213" s="28"/>
      <c r="O213" s="14"/>
      <c r="P213" s="13">
        <v>0.2225</v>
      </c>
      <c r="Q213" s="15"/>
      <c r="R213" s="15"/>
      <c r="S213" s="20"/>
      <c r="T213" s="15"/>
      <c r="U213" s="127"/>
    </row>
    <row r="214" spans="1:21" x14ac:dyDescent="0.25">
      <c r="A214" s="49"/>
      <c r="B214" s="36"/>
      <c r="C214" s="14"/>
      <c r="D214" s="36"/>
      <c r="E214" s="14"/>
      <c r="F214" s="28"/>
      <c r="G214" s="28"/>
      <c r="H214" s="14"/>
      <c r="I214" s="13"/>
      <c r="J214" s="14"/>
      <c r="K214" s="28"/>
      <c r="L214" s="32">
        <f>60*L211/B210</f>
        <v>266.60912510936134</v>
      </c>
      <c r="M214" s="28"/>
      <c r="N214" s="28"/>
      <c r="O214" s="14"/>
      <c r="P214" s="13"/>
      <c r="Q214" s="15"/>
      <c r="R214" s="15"/>
      <c r="S214" s="20"/>
      <c r="T214" s="15"/>
      <c r="U214" s="127"/>
    </row>
    <row r="215" spans="1:21" x14ac:dyDescent="0.25">
      <c r="A215" s="53">
        <v>53</v>
      </c>
      <c r="B215" s="40">
        <v>65.680000000000007</v>
      </c>
      <c r="C215" s="17" t="s">
        <v>64</v>
      </c>
      <c r="D215" s="40" t="s">
        <v>6</v>
      </c>
      <c r="E215" s="17" t="s">
        <v>24</v>
      </c>
      <c r="F215" s="479" t="s">
        <v>224</v>
      </c>
      <c r="G215" s="479"/>
      <c r="H215" s="17">
        <f>AVERAGE(H216:H218)</f>
        <v>0.12733333333333383</v>
      </c>
      <c r="I215" s="16" t="s">
        <v>162</v>
      </c>
      <c r="J215" s="17" t="s">
        <v>169</v>
      </c>
      <c r="K215" s="38" t="s">
        <v>166</v>
      </c>
      <c r="L215" s="34" t="s">
        <v>167</v>
      </c>
      <c r="M215" s="38">
        <f>60*SUM(H215:H218)/B215</f>
        <v>0.46528623629720028</v>
      </c>
      <c r="N215" s="38">
        <f>100*SUM(H215:H218)/K218</f>
        <v>0.83511282443104284</v>
      </c>
      <c r="O215" s="17">
        <f>1000*SUM(H215:H218)/K218</f>
        <v>8.3511282443104289</v>
      </c>
      <c r="P215" s="16"/>
      <c r="Q215" s="179">
        <f>2*SUM(P215:P218)/K218</f>
        <v>1.7052041964822275E-3</v>
      </c>
      <c r="R215" s="18"/>
      <c r="S215" s="452"/>
      <c r="T215" s="18"/>
      <c r="U215" s="126"/>
    </row>
    <row r="216" spans="1:21" x14ac:dyDescent="0.25">
      <c r="A216" s="53"/>
      <c r="B216" s="40"/>
      <c r="C216" s="17" t="s">
        <v>65</v>
      </c>
      <c r="D216" s="40" t="s">
        <v>62</v>
      </c>
      <c r="E216" s="17" t="s">
        <v>23</v>
      </c>
      <c r="F216" s="38">
        <v>16.777000000000001</v>
      </c>
      <c r="G216" s="38">
        <v>16.888999999999999</v>
      </c>
      <c r="H216" s="17">
        <f>G216-F216</f>
        <v>0.11199999999999832</v>
      </c>
      <c r="I216" s="16">
        <f>7+7/8-2*1.84</f>
        <v>4.1950000000000003</v>
      </c>
      <c r="J216" s="17">
        <f>23+4/12</f>
        <v>23.333333333333332</v>
      </c>
      <c r="K216" s="38">
        <v>0.19833469387755104</v>
      </c>
      <c r="L216" s="34">
        <f>I216*3.14159*J216</f>
        <v>307.50930116666666</v>
      </c>
      <c r="M216" s="38"/>
      <c r="N216" s="38"/>
      <c r="O216" s="17"/>
      <c r="P216" s="16">
        <v>2.53E-2</v>
      </c>
      <c r="Q216" s="18"/>
      <c r="R216" s="18"/>
      <c r="S216" s="452"/>
      <c r="T216" s="18"/>
      <c r="U216" s="126"/>
    </row>
    <row r="217" spans="1:21" x14ac:dyDescent="0.25">
      <c r="A217" s="53"/>
      <c r="B217" s="40"/>
      <c r="C217" s="17" t="s">
        <v>230</v>
      </c>
      <c r="D217" s="40" t="s">
        <v>63</v>
      </c>
      <c r="E217" s="17" t="s">
        <v>26</v>
      </c>
      <c r="F217" s="38">
        <v>17.86</v>
      </c>
      <c r="G217" s="38">
        <v>17.995000000000001</v>
      </c>
      <c r="H217" s="17">
        <f>G217-F217</f>
        <v>0.13500000000000156</v>
      </c>
      <c r="I217" s="39"/>
      <c r="J217" s="17"/>
      <c r="K217" s="98"/>
      <c r="L217" s="34"/>
      <c r="M217" s="38"/>
      <c r="N217" s="38"/>
      <c r="O217" s="17"/>
      <c r="P217" s="16">
        <v>2.6700000000000002E-2</v>
      </c>
      <c r="Q217" s="18"/>
      <c r="R217" s="18"/>
      <c r="S217" s="452"/>
      <c r="T217" s="18"/>
      <c r="U217" s="126"/>
    </row>
    <row r="218" spans="1:21" x14ac:dyDescent="0.25">
      <c r="A218" s="53"/>
      <c r="B218" s="40"/>
      <c r="C218" s="17"/>
      <c r="D218" s="40"/>
      <c r="E218" s="17" t="s">
        <v>25</v>
      </c>
      <c r="F218" s="38">
        <v>17.154</v>
      </c>
      <c r="G218" s="38">
        <v>17.289000000000001</v>
      </c>
      <c r="H218" s="17">
        <f>G218-F218</f>
        <v>0.13500000000000156</v>
      </c>
      <c r="I218" s="461" t="s">
        <v>18</v>
      </c>
      <c r="J218" s="256"/>
      <c r="K218" s="38">
        <f>L216*K216</f>
        <v>60.989763111390481</v>
      </c>
      <c r="L218" s="34" t="s">
        <v>163</v>
      </c>
      <c r="M218" s="38"/>
      <c r="N218" s="38"/>
      <c r="O218" s="17"/>
      <c r="P218" s="16"/>
      <c r="Q218" s="18"/>
      <c r="R218" s="18"/>
      <c r="S218" s="452"/>
      <c r="T218" s="18"/>
      <c r="U218" s="126"/>
    </row>
    <row r="219" spans="1:21" x14ac:dyDescent="0.25">
      <c r="A219" s="53"/>
      <c r="B219" s="40"/>
      <c r="C219" s="17"/>
      <c r="D219" s="40"/>
      <c r="E219" s="17"/>
      <c r="F219" s="38"/>
      <c r="G219" s="38"/>
      <c r="H219" s="17"/>
      <c r="I219" s="39"/>
      <c r="J219" s="17"/>
      <c r="K219" s="38"/>
      <c r="L219" s="34">
        <f>60*L216/B215</f>
        <v>280.9159267661388</v>
      </c>
      <c r="M219" s="38"/>
      <c r="N219" s="38"/>
      <c r="O219" s="17"/>
      <c r="P219" s="16"/>
      <c r="Q219" s="18"/>
      <c r="R219" s="18"/>
      <c r="S219" s="452"/>
      <c r="T219" s="18"/>
      <c r="U219" s="126"/>
    </row>
    <row r="220" spans="1:21" x14ac:dyDescent="0.25">
      <c r="A220" s="49">
        <v>54</v>
      </c>
      <c r="B220" s="36">
        <v>93.6</v>
      </c>
      <c r="C220" s="14" t="s">
        <v>66</v>
      </c>
      <c r="D220" s="36" t="s">
        <v>61</v>
      </c>
      <c r="E220" s="14" t="s">
        <v>24</v>
      </c>
      <c r="F220" s="28">
        <v>23.062000000000001</v>
      </c>
      <c r="G220" s="28">
        <v>23.219000000000001</v>
      </c>
      <c r="H220" s="14">
        <f>G220-F220</f>
        <v>0.15700000000000003</v>
      </c>
      <c r="I220" s="13" t="s">
        <v>162</v>
      </c>
      <c r="J220" s="14" t="s">
        <v>169</v>
      </c>
      <c r="K220" s="28" t="s">
        <v>166</v>
      </c>
      <c r="L220" s="32" t="s">
        <v>167</v>
      </c>
      <c r="M220" s="28">
        <f>60*SUM(H220:H223)/B220</f>
        <v>0.38333333333333269</v>
      </c>
      <c r="N220" s="28">
        <f>100*SUM(H220:H223)/K223</f>
        <v>0.78192287554034023</v>
      </c>
      <c r="O220" s="14">
        <f>1000*SUM(H220:H223)/K223</f>
        <v>7.8192287554034028</v>
      </c>
      <c r="P220" s="20">
        <v>0.63519999999999999</v>
      </c>
      <c r="Q220" s="178">
        <f>2*SUM(P220:P223)/K223</f>
        <v>3.2411879998150477E-2</v>
      </c>
      <c r="R220" s="15"/>
      <c r="S220" s="20"/>
      <c r="T220" s="15"/>
      <c r="U220" s="127"/>
    </row>
    <row r="221" spans="1:21" x14ac:dyDescent="0.25">
      <c r="A221" s="49"/>
      <c r="B221" s="36"/>
      <c r="C221" s="14" t="s">
        <v>65</v>
      </c>
      <c r="D221" s="36">
        <v>304</v>
      </c>
      <c r="E221" s="14" t="s">
        <v>23</v>
      </c>
      <c r="F221" s="28">
        <v>18.206</v>
      </c>
      <c r="G221" s="28">
        <v>18.347999999999999</v>
      </c>
      <c r="H221" s="14">
        <f>G221-F221</f>
        <v>0.14199999999999946</v>
      </c>
      <c r="I221" s="13">
        <f>11.75-2*(1+11/16)</f>
        <v>8.375</v>
      </c>
      <c r="J221" s="14">
        <f>13+2.5/12</f>
        <v>13.208333333333334</v>
      </c>
      <c r="K221" s="28">
        <v>0.22006700000000001</v>
      </c>
      <c r="L221" s="32">
        <f>I221*3.14159*J221</f>
        <v>347.52203130208335</v>
      </c>
      <c r="M221" s="28"/>
      <c r="N221" s="28"/>
      <c r="O221" s="14"/>
      <c r="P221" s="13"/>
      <c r="Q221" s="15"/>
      <c r="R221" s="15"/>
      <c r="S221" s="20"/>
      <c r="T221" s="15"/>
      <c r="U221" s="127"/>
    </row>
    <row r="222" spans="1:21" x14ac:dyDescent="0.25">
      <c r="A222" s="132"/>
      <c r="B222" s="36"/>
      <c r="C222" s="14" t="s">
        <v>230</v>
      </c>
      <c r="D222" s="36"/>
      <c r="E222" s="14" t="s">
        <v>26</v>
      </c>
      <c r="F222" s="28">
        <v>15.923999999999999</v>
      </c>
      <c r="G222" s="28">
        <v>16.065000000000001</v>
      </c>
      <c r="H222" s="14">
        <f>G222-F222</f>
        <v>0.14100000000000179</v>
      </c>
      <c r="I222" s="20"/>
      <c r="J222" s="15"/>
      <c r="K222" s="102"/>
      <c r="L222" s="32"/>
      <c r="M222" s="28"/>
      <c r="N222" s="28"/>
      <c r="O222" s="14"/>
      <c r="P222" s="13"/>
      <c r="Q222" s="15"/>
      <c r="R222" s="15"/>
      <c r="S222" s="20"/>
      <c r="T222" s="15"/>
      <c r="U222" s="127"/>
    </row>
    <row r="223" spans="1:21" x14ac:dyDescent="0.25">
      <c r="A223" s="132"/>
      <c r="B223" s="36"/>
      <c r="C223" s="14"/>
      <c r="D223" s="36"/>
      <c r="E223" s="14" t="s">
        <v>25</v>
      </c>
      <c r="F223" s="28">
        <v>19.885000000000002</v>
      </c>
      <c r="G223" s="28">
        <v>20.042999999999999</v>
      </c>
      <c r="H223" s="14">
        <f>G223-F223</f>
        <v>0.1579999999999977</v>
      </c>
      <c r="I223" s="459" t="s">
        <v>18</v>
      </c>
      <c r="J223" s="460"/>
      <c r="K223" s="28">
        <f>L221*K221</f>
        <v>76.478130862555574</v>
      </c>
      <c r="L223" s="32" t="s">
        <v>163</v>
      </c>
      <c r="M223" s="28"/>
      <c r="N223" s="28"/>
      <c r="O223" s="14"/>
      <c r="P223" s="20">
        <v>0.60419999999999996</v>
      </c>
      <c r="Q223" s="15"/>
      <c r="R223" s="15"/>
      <c r="S223" s="20"/>
      <c r="T223" s="15"/>
      <c r="U223" s="127"/>
    </row>
    <row r="224" spans="1:21" x14ac:dyDescent="0.25">
      <c r="A224" s="132"/>
      <c r="B224" s="36"/>
      <c r="C224" s="14"/>
      <c r="D224" s="36"/>
      <c r="E224" s="14"/>
      <c r="F224" s="28"/>
      <c r="G224" s="28"/>
      <c r="H224" s="14"/>
      <c r="I224" s="13"/>
      <c r="J224" s="14"/>
      <c r="K224" s="28"/>
      <c r="L224" s="32">
        <f>60*L221/B220</f>
        <v>222.77053288595087</v>
      </c>
      <c r="M224" s="28"/>
      <c r="N224" s="28"/>
      <c r="O224" s="14"/>
      <c r="P224" s="13"/>
      <c r="Q224" s="15"/>
      <c r="R224" s="15"/>
      <c r="S224" s="20"/>
      <c r="T224" s="15"/>
      <c r="U224" s="127"/>
    </row>
    <row r="225" spans="1:21" x14ac:dyDescent="0.25">
      <c r="A225" s="53">
        <v>55</v>
      </c>
      <c r="B225" s="40">
        <v>78.45</v>
      </c>
      <c r="C225" s="17" t="s">
        <v>66</v>
      </c>
      <c r="D225" s="40" t="s">
        <v>61</v>
      </c>
      <c r="E225" s="17" t="s">
        <v>24</v>
      </c>
      <c r="F225" s="38">
        <v>16.954000000000001</v>
      </c>
      <c r="G225" s="38">
        <v>17.065999999999999</v>
      </c>
      <c r="H225" s="38">
        <f>G225-F225</f>
        <v>0.11199999999999832</v>
      </c>
      <c r="I225" s="16" t="s">
        <v>162</v>
      </c>
      <c r="J225" s="17" t="s">
        <v>169</v>
      </c>
      <c r="K225" s="38" t="s">
        <v>166</v>
      </c>
      <c r="L225" s="34" t="s">
        <v>167</v>
      </c>
      <c r="M225" s="38">
        <f>60*SUM(H225:H228)/B225</f>
        <v>0.35564053537284745</v>
      </c>
      <c r="N225" s="38">
        <f>100*SUM(H225:H228)/K228</f>
        <v>0.72459163042864416</v>
      </c>
      <c r="O225" s="17">
        <f>1000*SUM(H225:H228)/K228</f>
        <v>7.2459163042864416</v>
      </c>
      <c r="P225" s="16"/>
      <c r="Q225" s="179">
        <f>2*SUM(P225:P228)/K228</f>
        <v>2.9831359511668865E-2</v>
      </c>
      <c r="R225" s="18"/>
      <c r="S225" s="21"/>
      <c r="T225" s="12"/>
      <c r="U225" s="133"/>
    </row>
    <row r="226" spans="1:21" x14ac:dyDescent="0.25">
      <c r="A226" s="135"/>
      <c r="B226" s="40"/>
      <c r="C226" s="17" t="s">
        <v>65</v>
      </c>
      <c r="D226" s="40">
        <v>304</v>
      </c>
      <c r="E226" s="17" t="s">
        <v>23</v>
      </c>
      <c r="F226" s="38">
        <v>15.808</v>
      </c>
      <c r="G226" s="38">
        <v>15.907999999999999</v>
      </c>
      <c r="H226" s="17">
        <f>G226-F226</f>
        <v>9.9999999999999645E-2</v>
      </c>
      <c r="I226" s="16">
        <v>8.375</v>
      </c>
      <c r="J226" s="17">
        <f>11+1/12</f>
        <v>11.083333333333334</v>
      </c>
      <c r="K226" s="38">
        <v>0.22006700000000001</v>
      </c>
      <c r="L226" s="34">
        <f>I226*3.14159*J226</f>
        <v>291.61154677083334</v>
      </c>
      <c r="M226" s="38"/>
      <c r="N226" s="38"/>
      <c r="O226" s="17"/>
      <c r="P226" s="21">
        <v>0.4637</v>
      </c>
      <c r="Q226" s="18"/>
      <c r="R226" s="18"/>
      <c r="S226" s="21"/>
      <c r="T226" s="12"/>
      <c r="U226" s="133"/>
    </row>
    <row r="227" spans="1:21" x14ac:dyDescent="0.25">
      <c r="A227" s="135"/>
      <c r="B227" s="40"/>
      <c r="C227" s="17" t="s">
        <v>230</v>
      </c>
      <c r="D227" s="40"/>
      <c r="E227" s="17" t="s">
        <v>26</v>
      </c>
      <c r="F227" s="38">
        <v>17.366</v>
      </c>
      <c r="G227" s="38">
        <v>17.518000000000001</v>
      </c>
      <c r="H227" s="17">
        <f>G227-F227</f>
        <v>0.15200000000000102</v>
      </c>
      <c r="I227" s="39"/>
      <c r="J227" s="17"/>
      <c r="K227" s="98"/>
      <c r="L227" s="34"/>
      <c r="M227" s="38"/>
      <c r="N227" s="38"/>
      <c r="O227" s="17"/>
      <c r="P227" s="21">
        <v>0.49349999999999999</v>
      </c>
      <c r="Q227" s="18"/>
      <c r="R227" s="18"/>
      <c r="S227" s="21"/>
      <c r="T227" s="12"/>
      <c r="U227" s="133"/>
    </row>
    <row r="228" spans="1:21" x14ac:dyDescent="0.25">
      <c r="A228" s="135"/>
      <c r="B228" s="148"/>
      <c r="C228" s="17"/>
      <c r="D228" s="40"/>
      <c r="E228" s="17" t="s">
        <v>25</v>
      </c>
      <c r="F228" s="38">
        <v>15.48</v>
      </c>
      <c r="G228" s="38">
        <v>15.581</v>
      </c>
      <c r="H228" s="17">
        <f>G228-F228</f>
        <v>0.10099999999999909</v>
      </c>
      <c r="I228" s="461" t="s">
        <v>18</v>
      </c>
      <c r="J228" s="256"/>
      <c r="K228" s="38">
        <f>L226*K226</f>
        <v>64.174078263216984</v>
      </c>
      <c r="L228" s="34" t="s">
        <v>163</v>
      </c>
      <c r="M228" s="38"/>
      <c r="N228" s="38"/>
      <c r="O228" s="17"/>
      <c r="P228" s="16"/>
      <c r="Q228" s="18"/>
      <c r="R228" s="18"/>
      <c r="S228" s="21"/>
      <c r="T228" s="12"/>
      <c r="U228" s="133"/>
    </row>
    <row r="229" spans="1:21" x14ac:dyDescent="0.25">
      <c r="A229" s="135"/>
      <c r="B229" s="148"/>
      <c r="C229" s="17"/>
      <c r="D229" s="40"/>
      <c r="E229" s="18"/>
      <c r="F229" s="98"/>
      <c r="G229" s="98"/>
      <c r="H229" s="18"/>
      <c r="I229" s="39"/>
      <c r="J229" s="17"/>
      <c r="K229" s="38"/>
      <c r="L229" s="34">
        <f>60*L226/B225</f>
        <v>223.02986368706183</v>
      </c>
      <c r="M229" s="38"/>
      <c r="N229" s="38"/>
      <c r="O229" s="17"/>
      <c r="P229" s="16"/>
      <c r="Q229" s="18"/>
      <c r="R229" s="18"/>
      <c r="S229" s="21"/>
      <c r="T229" s="12"/>
      <c r="U229" s="133"/>
    </row>
    <row r="230" spans="1:21" x14ac:dyDescent="0.25">
      <c r="A230" s="49">
        <v>56</v>
      </c>
      <c r="B230" s="36">
        <v>66.260000000000005</v>
      </c>
      <c r="C230" s="14" t="s">
        <v>196</v>
      </c>
      <c r="D230" s="36" t="s">
        <v>61</v>
      </c>
      <c r="E230" s="14" t="s">
        <v>24</v>
      </c>
      <c r="F230" s="28">
        <v>17.943999999999999</v>
      </c>
      <c r="G230" s="28">
        <v>18.009</v>
      </c>
      <c r="H230" s="14">
        <f>G230-F230</f>
        <v>6.5000000000001279E-2</v>
      </c>
      <c r="I230" s="13" t="s">
        <v>162</v>
      </c>
      <c r="J230" s="14" t="s">
        <v>169</v>
      </c>
      <c r="K230" s="28" t="s">
        <v>166</v>
      </c>
      <c r="L230" s="32" t="s">
        <v>167</v>
      </c>
      <c r="M230" s="28">
        <f>60*SUM(H230:H233)/B230</f>
        <v>0.2236643525505615</v>
      </c>
      <c r="N230" s="28">
        <f>100*SUM(H230:H233)/K233</f>
        <v>0.48684349531890952</v>
      </c>
      <c r="O230" s="14">
        <f>1000*SUM(H230:H233)/K233</f>
        <v>4.8684349531890954</v>
      </c>
      <c r="P230" s="13">
        <v>3.4220000000000002</v>
      </c>
      <c r="Q230" s="178">
        <f>2*SUM(P230:P233)/K233</f>
        <v>0.26691638111775634</v>
      </c>
      <c r="R230" s="15"/>
      <c r="S230" s="435">
        <v>3.335</v>
      </c>
      <c r="T230" s="15">
        <f>2*SUM(S230:S233)/K233</f>
        <v>0.25717951121137828</v>
      </c>
      <c r="U230" s="436">
        <f>(Q230-T230)/T230</f>
        <v>3.7860208461066865E-2</v>
      </c>
    </row>
    <row r="231" spans="1:21" x14ac:dyDescent="0.25">
      <c r="A231" s="49"/>
      <c r="B231" s="36"/>
      <c r="C231" s="14" t="s">
        <v>65</v>
      </c>
      <c r="D231" s="36">
        <v>304</v>
      </c>
      <c r="E231" s="14" t="s">
        <v>23</v>
      </c>
      <c r="F231" s="28">
        <v>16.491</v>
      </c>
      <c r="G231" s="28">
        <v>16.541</v>
      </c>
      <c r="H231" s="14">
        <f>G231-F231</f>
        <v>5.0000000000000711E-2</v>
      </c>
      <c r="I231" s="13">
        <f>8-2*0.4/2.54</f>
        <v>7.6850393700787398</v>
      </c>
      <c r="J231" s="14">
        <f>12+2/12</f>
        <v>12.166666666666666</v>
      </c>
      <c r="K231" s="28">
        <v>0.17271910112359601</v>
      </c>
      <c r="L231" s="32">
        <f>I231*3.14159*J231</f>
        <v>293.74278782152231</v>
      </c>
      <c r="M231" s="28"/>
      <c r="N231" s="28"/>
      <c r="O231" s="14"/>
      <c r="P231" s="13"/>
      <c r="Q231" s="15"/>
      <c r="R231" s="15"/>
      <c r="S231" s="20"/>
      <c r="T231" s="15"/>
      <c r="U231" s="127"/>
    </row>
    <row r="232" spans="1:21" x14ac:dyDescent="0.25">
      <c r="A232" s="49"/>
      <c r="B232" s="36"/>
      <c r="C232" s="14" t="s">
        <v>231</v>
      </c>
      <c r="D232" s="36"/>
      <c r="E232" s="14" t="s">
        <v>26</v>
      </c>
      <c r="F232" s="28">
        <v>19.035</v>
      </c>
      <c r="G232" s="28">
        <v>19.100000000000001</v>
      </c>
      <c r="H232" s="14">
        <f>G232-F232</f>
        <v>6.5000000000001279E-2</v>
      </c>
      <c r="I232" s="20"/>
      <c r="J232" s="15"/>
      <c r="K232" s="102"/>
      <c r="L232" s="32"/>
      <c r="M232" s="28"/>
      <c r="N232" s="28"/>
      <c r="O232" s="14"/>
      <c r="P232" s="13"/>
      <c r="Q232" s="15"/>
      <c r="R232" s="15"/>
      <c r="S232" s="20"/>
      <c r="T232" s="15"/>
      <c r="U232" s="127"/>
    </row>
    <row r="233" spans="1:21" x14ac:dyDescent="0.25">
      <c r="A233" s="49"/>
      <c r="B233" s="36"/>
      <c r="C233" s="14"/>
      <c r="D233" s="36"/>
      <c r="E233" s="14" t="s">
        <v>25</v>
      </c>
      <c r="F233" s="28">
        <v>19.382999999999999</v>
      </c>
      <c r="G233" s="28">
        <v>19.45</v>
      </c>
      <c r="H233" s="14">
        <f>G233-F233</f>
        <v>6.7000000000000171E-2</v>
      </c>
      <c r="I233" s="459" t="s">
        <v>18</v>
      </c>
      <c r="J233" s="460"/>
      <c r="K233" s="28">
        <f>L231*K231</f>
        <v>50.734990274072516</v>
      </c>
      <c r="L233" s="32" t="s">
        <v>163</v>
      </c>
      <c r="M233" s="28"/>
      <c r="N233" s="28"/>
      <c r="O233" s="14"/>
      <c r="P233" s="13">
        <v>3.3490000000000002</v>
      </c>
      <c r="Q233" s="15"/>
      <c r="R233" s="15"/>
      <c r="S233" s="435">
        <v>3.1890000000000001</v>
      </c>
      <c r="T233" s="15"/>
      <c r="U233" s="127"/>
    </row>
    <row r="234" spans="1:21" x14ac:dyDescent="0.25">
      <c r="A234" s="49"/>
      <c r="B234" s="36"/>
      <c r="C234" s="14"/>
      <c r="D234" s="36"/>
      <c r="E234" s="14"/>
      <c r="F234" s="28"/>
      <c r="G234" s="28"/>
      <c r="H234" s="14"/>
      <c r="I234" s="13"/>
      <c r="J234" s="14"/>
      <c r="K234" s="28"/>
      <c r="L234" s="32">
        <f>60*L231/B230</f>
        <v>265.99105447164715</v>
      </c>
      <c r="M234" s="28"/>
      <c r="N234" s="28"/>
      <c r="O234" s="14"/>
      <c r="P234" s="13"/>
      <c r="Q234" s="15"/>
      <c r="R234" s="15"/>
      <c r="S234" s="20"/>
      <c r="T234" s="15"/>
      <c r="U234" s="127"/>
    </row>
    <row r="235" spans="1:21" x14ac:dyDescent="0.25">
      <c r="A235" s="53">
        <v>57</v>
      </c>
      <c r="B235" s="40">
        <v>76.06</v>
      </c>
      <c r="C235" s="17" t="s">
        <v>196</v>
      </c>
      <c r="D235" s="40" t="s">
        <v>61</v>
      </c>
      <c r="E235" s="17" t="s">
        <v>24</v>
      </c>
      <c r="F235" s="38">
        <v>19.747</v>
      </c>
      <c r="G235" s="38">
        <v>19.835000000000001</v>
      </c>
      <c r="H235" s="38">
        <f>G235-F235</f>
        <v>8.8000000000000966E-2</v>
      </c>
      <c r="I235" s="16" t="s">
        <v>162</v>
      </c>
      <c r="J235" s="17" t="s">
        <v>169</v>
      </c>
      <c r="K235" s="38" t="s">
        <v>166</v>
      </c>
      <c r="L235" s="34" t="s">
        <v>167</v>
      </c>
      <c r="M235" s="38">
        <f>60*SUM(H235:H238)/B235</f>
        <v>0.26505390481198937</v>
      </c>
      <c r="N235" s="38">
        <f>100*SUM(H235:H238)/K238</f>
        <v>0.56710068045553053</v>
      </c>
      <c r="O235" s="17">
        <f>1000*SUM(H235:H238)/K238</f>
        <v>5.6710068045553053</v>
      </c>
      <c r="P235" s="16">
        <v>0.21870000000000001</v>
      </c>
      <c r="Q235" s="179">
        <f>2*SUM(P235:P238)/K238</f>
        <v>1.4521828138807757E-2</v>
      </c>
      <c r="R235" s="18"/>
      <c r="S235" s="450">
        <v>0.19900000000000001</v>
      </c>
      <c r="T235" s="18">
        <f>2*SUM(S235:S238)/K238</f>
        <v>1.4312540982925359E-2</v>
      </c>
      <c r="U235" s="451">
        <f>(Q235-T235)/T235</f>
        <v>1.4622641509433883E-2</v>
      </c>
    </row>
    <row r="236" spans="1:21" x14ac:dyDescent="0.25">
      <c r="A236" s="135"/>
      <c r="B236" s="40"/>
      <c r="C236" s="17" t="s">
        <v>65</v>
      </c>
      <c r="D236" s="40">
        <v>304</v>
      </c>
      <c r="E236" s="17" t="s">
        <v>23</v>
      </c>
      <c r="F236" s="38">
        <v>19.356000000000002</v>
      </c>
      <c r="G236" s="38">
        <v>19.437000000000001</v>
      </c>
      <c r="H236" s="17">
        <f>G236-F236</f>
        <v>8.0999999999999517E-2</v>
      </c>
      <c r="I236" s="16">
        <f>8-2*0.4/2.54</f>
        <v>7.6850393700787398</v>
      </c>
      <c r="J236" s="17">
        <f>14+2.5/12</f>
        <v>14.208333333333334</v>
      </c>
      <c r="K236" s="38">
        <v>0.17271910112359601</v>
      </c>
      <c r="L236" s="34">
        <f>I236*3.14159*J236</f>
        <v>343.03524194225724</v>
      </c>
      <c r="M236" s="38"/>
      <c r="N236" s="38"/>
      <c r="O236" s="17"/>
      <c r="P236" s="16"/>
      <c r="Q236" s="18"/>
      <c r="R236" s="18"/>
      <c r="S236" s="452"/>
      <c r="T236" s="18"/>
      <c r="U236" s="126"/>
    </row>
    <row r="237" spans="1:21" x14ac:dyDescent="0.25">
      <c r="A237" s="135"/>
      <c r="B237" s="40"/>
      <c r="C237" s="17" t="s">
        <v>231</v>
      </c>
      <c r="D237" s="40"/>
      <c r="E237" s="17" t="s">
        <v>26</v>
      </c>
      <c r="F237" s="38">
        <v>19.524999999999999</v>
      </c>
      <c r="G237" s="38">
        <v>19.603999999999999</v>
      </c>
      <c r="H237" s="17">
        <f>G237-F237</f>
        <v>7.9000000000000625E-2</v>
      </c>
      <c r="I237" s="39"/>
      <c r="J237" s="17"/>
      <c r="K237" s="98"/>
      <c r="L237" s="34"/>
      <c r="M237" s="38"/>
      <c r="N237" s="38"/>
      <c r="O237" s="17"/>
      <c r="P237" s="16"/>
      <c r="Q237" s="18"/>
      <c r="R237" s="18"/>
      <c r="S237" s="452"/>
      <c r="T237" s="18"/>
      <c r="U237" s="126"/>
    </row>
    <row r="238" spans="1:21" x14ac:dyDescent="0.25">
      <c r="A238" s="135"/>
      <c r="B238" s="40"/>
      <c r="C238" s="17"/>
      <c r="D238" s="40"/>
      <c r="E238" s="17" t="s">
        <v>25</v>
      </c>
      <c r="F238" s="38">
        <v>19.821000000000002</v>
      </c>
      <c r="G238" s="38">
        <v>19.908999999999999</v>
      </c>
      <c r="H238" s="17">
        <f>G238-F238</f>
        <v>8.7999999999997414E-2</v>
      </c>
      <c r="I238" s="461" t="s">
        <v>18</v>
      </c>
      <c r="J238" s="256"/>
      <c r="K238" s="38">
        <f>L236*K236</f>
        <v>59.248738641981952</v>
      </c>
      <c r="L238" s="34" t="s">
        <v>163</v>
      </c>
      <c r="M238" s="38"/>
      <c r="N238" s="38"/>
      <c r="O238" s="17"/>
      <c r="P238" s="16">
        <v>0.21149999999999999</v>
      </c>
      <c r="Q238" s="18"/>
      <c r="R238" s="18"/>
      <c r="S238" s="450">
        <v>0.22500000000000001</v>
      </c>
      <c r="T238" s="18"/>
      <c r="U238" s="126"/>
    </row>
    <row r="239" spans="1:21" x14ac:dyDescent="0.25">
      <c r="A239" s="135"/>
      <c r="B239" s="40"/>
      <c r="C239" s="17"/>
      <c r="D239" s="40"/>
      <c r="E239" s="17"/>
      <c r="F239" s="38"/>
      <c r="G239" s="38"/>
      <c r="H239" s="17"/>
      <c r="I239" s="39"/>
      <c r="J239" s="17"/>
      <c r="K239" s="38"/>
      <c r="L239" s="34">
        <f>60*L236/B235</f>
        <v>270.60366180036073</v>
      </c>
      <c r="M239" s="38"/>
      <c r="N239" s="38"/>
      <c r="O239" s="17"/>
      <c r="P239" s="16"/>
      <c r="Q239" s="18"/>
      <c r="R239" s="18"/>
      <c r="S239" s="452"/>
      <c r="T239" s="18"/>
      <c r="U239" s="126"/>
    </row>
    <row r="240" spans="1:21" x14ac:dyDescent="0.25">
      <c r="A240" s="49">
        <v>58</v>
      </c>
      <c r="B240" s="36">
        <v>81.25</v>
      </c>
      <c r="C240" s="14" t="s">
        <v>196</v>
      </c>
      <c r="D240" s="36" t="s">
        <v>61</v>
      </c>
      <c r="E240" s="14" t="s">
        <v>24</v>
      </c>
      <c r="F240" s="28">
        <v>20.312000000000001</v>
      </c>
      <c r="G240" s="28">
        <v>20.454000000000001</v>
      </c>
      <c r="H240" s="14">
        <f>G240-F240</f>
        <v>0.14199999999999946</v>
      </c>
      <c r="I240" s="13" t="s">
        <v>162</v>
      </c>
      <c r="J240" s="14" t="s">
        <v>169</v>
      </c>
      <c r="K240" s="28" t="s">
        <v>166</v>
      </c>
      <c r="L240" s="32" t="s">
        <v>167</v>
      </c>
      <c r="M240" s="28">
        <f>60*SUM(H240:H243)/B240</f>
        <v>0.38399999999999967</v>
      </c>
      <c r="N240" s="28">
        <f>100*SUM(H240:H243)/K243</f>
        <v>0.82446455347611713</v>
      </c>
      <c r="O240" s="14">
        <f>1000*SUM(H240:H243)/K243</f>
        <v>8.2446455347611707</v>
      </c>
      <c r="P240" s="13">
        <v>0.2132</v>
      </c>
      <c r="Q240" s="178">
        <f>2*SUM(P240:P243)/K243</f>
        <v>1.3502192571928114E-2</v>
      </c>
      <c r="R240" s="15"/>
      <c r="S240" s="435">
        <v>0.20169999999999999</v>
      </c>
      <c r="T240" s="15">
        <f>2*SUM(S240:S243)/K243</f>
        <v>1.2699925141045582E-2</v>
      </c>
      <c r="U240" s="436">
        <f>(Q240-T240)/T240</f>
        <v>6.3171036204744208E-2</v>
      </c>
    </row>
    <row r="241" spans="1:21" x14ac:dyDescent="0.25">
      <c r="A241" s="49"/>
      <c r="B241" s="36"/>
      <c r="C241" s="14" t="s">
        <v>65</v>
      </c>
      <c r="D241" s="36">
        <v>304</v>
      </c>
      <c r="E241" s="14" t="s">
        <v>23</v>
      </c>
      <c r="F241" s="28">
        <v>19.785</v>
      </c>
      <c r="G241" s="28">
        <v>19.920000000000002</v>
      </c>
      <c r="H241" s="14">
        <f>G241-F241</f>
        <v>0.13500000000000156</v>
      </c>
      <c r="I241" s="13">
        <f>8-2*0.4/2.54</f>
        <v>7.6850393700787398</v>
      </c>
      <c r="J241" s="14">
        <f>15+1.5/12</f>
        <v>15.125</v>
      </c>
      <c r="K241" s="28">
        <v>0.17271910112359601</v>
      </c>
      <c r="L241" s="32">
        <f>I241*3.14159*J241</f>
        <v>365.16654787401575</v>
      </c>
      <c r="M241" s="28"/>
      <c r="N241" s="28"/>
      <c r="O241" s="14"/>
      <c r="P241" s="13"/>
      <c r="Q241" s="15"/>
      <c r="R241" s="15"/>
      <c r="S241" s="20"/>
      <c r="T241" s="15"/>
      <c r="U241" s="127"/>
    </row>
    <row r="242" spans="1:21" x14ac:dyDescent="0.25">
      <c r="A242" s="49"/>
      <c r="B242" s="36"/>
      <c r="C242" s="14" t="s">
        <v>231</v>
      </c>
      <c r="D242" s="36"/>
      <c r="E242" s="14" t="s">
        <v>26</v>
      </c>
      <c r="F242" s="28">
        <v>20.262</v>
      </c>
      <c r="G242" s="28">
        <v>20.382999999999999</v>
      </c>
      <c r="H242" s="14">
        <f>G242-F242</f>
        <v>0.12099999999999866</v>
      </c>
      <c r="I242" s="20"/>
      <c r="J242" s="15"/>
      <c r="K242" s="102"/>
      <c r="L242" s="32"/>
      <c r="M242" s="28"/>
      <c r="N242" s="28"/>
      <c r="O242" s="14"/>
      <c r="P242" s="13"/>
      <c r="Q242" s="15"/>
      <c r="R242" s="15"/>
      <c r="S242" s="20"/>
      <c r="T242" s="15"/>
      <c r="U242" s="127"/>
    </row>
    <row r="243" spans="1:21" x14ac:dyDescent="0.25">
      <c r="A243" s="49"/>
      <c r="B243" s="36"/>
      <c r="C243" s="14"/>
      <c r="D243" s="36"/>
      <c r="E243" s="14" t="s">
        <v>25</v>
      </c>
      <c r="F243" s="28">
        <v>19.535</v>
      </c>
      <c r="G243" s="28">
        <v>19.657</v>
      </c>
      <c r="H243" s="14">
        <f>G243-F243</f>
        <v>0.12199999999999989</v>
      </c>
      <c r="I243" s="459" t="s">
        <v>18</v>
      </c>
      <c r="J243" s="460"/>
      <c r="K243" s="28">
        <f>L241*K241</f>
        <v>63.071237909206587</v>
      </c>
      <c r="L243" s="32" t="s">
        <v>163</v>
      </c>
      <c r="M243" s="28"/>
      <c r="N243" s="28"/>
      <c r="O243" s="14"/>
      <c r="P243" s="13">
        <v>0.21260000000000001</v>
      </c>
      <c r="Q243" s="15"/>
      <c r="R243" s="15"/>
      <c r="S243" s="435">
        <v>0.1988</v>
      </c>
      <c r="T243" s="15"/>
      <c r="U243" s="127"/>
    </row>
    <row r="244" spans="1:21" x14ac:dyDescent="0.25">
      <c r="A244" s="49"/>
      <c r="B244" s="36"/>
      <c r="C244" s="14"/>
      <c r="D244" s="36"/>
      <c r="E244" s="14"/>
      <c r="F244" s="28"/>
      <c r="G244" s="28"/>
      <c r="H244" s="14"/>
      <c r="I244" s="13"/>
      <c r="J244" s="14"/>
      <c r="K244" s="28"/>
      <c r="L244" s="32">
        <f>60*L241/B240</f>
        <v>269.6614507377347</v>
      </c>
      <c r="M244" s="28"/>
      <c r="N244" s="28"/>
      <c r="O244" s="14"/>
      <c r="P244" s="13"/>
      <c r="Q244" s="15"/>
      <c r="R244" s="15"/>
      <c r="S244" s="20"/>
      <c r="T244" s="15"/>
      <c r="U244" s="127"/>
    </row>
    <row r="245" spans="1:21" x14ac:dyDescent="0.25">
      <c r="A245" s="53">
        <v>59</v>
      </c>
      <c r="B245" s="40">
        <v>81.38</v>
      </c>
      <c r="C245" s="17" t="s">
        <v>66</v>
      </c>
      <c r="D245" s="40" t="s">
        <v>61</v>
      </c>
      <c r="E245" s="17" t="s">
        <v>24</v>
      </c>
      <c r="F245" s="38">
        <v>19.917999999999999</v>
      </c>
      <c r="G245" s="38">
        <v>19.986999999999998</v>
      </c>
      <c r="H245" s="17">
        <f>G245-F245</f>
        <v>6.8999999999999062E-2</v>
      </c>
      <c r="I245" s="16" t="s">
        <v>162</v>
      </c>
      <c r="J245" s="17" t="s">
        <v>169</v>
      </c>
      <c r="K245" s="38" t="s">
        <v>166</v>
      </c>
      <c r="L245" s="34" t="s">
        <v>167</v>
      </c>
      <c r="M245" s="38">
        <f>60*SUM(H245:H248)/B245</f>
        <v>0.19021872695994038</v>
      </c>
      <c r="N245" s="38">
        <f>100*SUM(H245:H248)/K248</f>
        <v>0.43784217686542287</v>
      </c>
      <c r="O245" s="17">
        <f>1000*SUM(H245:H248)/K248</f>
        <v>4.3784217686542277</v>
      </c>
      <c r="P245" s="16">
        <v>0.30070000000000002</v>
      </c>
      <c r="Q245" s="179">
        <f>2*SUM(P245:P248)/K248</f>
        <v>2.0205228518448613E-2</v>
      </c>
      <c r="R245" s="18"/>
      <c r="S245" s="287">
        <v>0.17219999999999999</v>
      </c>
      <c r="T245" s="18">
        <f>2*SUM(S245:S248)/K248</f>
        <v>1.1461961482748357E-2</v>
      </c>
      <c r="U245" s="284">
        <f>(Q245-T245)/T245</f>
        <v>0.76280722534794188</v>
      </c>
    </row>
    <row r="246" spans="1:21" x14ac:dyDescent="0.25">
      <c r="A246" s="53"/>
      <c r="B246" s="40"/>
      <c r="C246" s="17" t="s">
        <v>67</v>
      </c>
      <c r="D246" s="40">
        <v>304</v>
      </c>
      <c r="E246" s="17" t="s">
        <v>23</v>
      </c>
      <c r="F246" s="38">
        <v>19.696999999999999</v>
      </c>
      <c r="G246" s="38">
        <v>19.760000000000002</v>
      </c>
      <c r="H246" s="17">
        <f>G246-F246</f>
        <v>6.3000000000002387E-2</v>
      </c>
      <c r="I246" s="16">
        <f>7+29/32-2*1.2</f>
        <v>5.5062499999999996</v>
      </c>
      <c r="J246" s="17">
        <f>27+4.5/12</f>
        <v>27.375</v>
      </c>
      <c r="K246" s="38">
        <v>0.124435</v>
      </c>
      <c r="L246" s="34">
        <f>I246*3.14159*J246</f>
        <v>473.54315078906245</v>
      </c>
      <c r="M246" s="38"/>
      <c r="N246" s="38"/>
      <c r="O246" s="17"/>
      <c r="P246" s="16"/>
      <c r="Q246" s="18"/>
      <c r="R246" s="18"/>
      <c r="S246" s="21"/>
      <c r="T246" s="12"/>
      <c r="U246" s="133"/>
    </row>
    <row r="247" spans="1:21" x14ac:dyDescent="0.25">
      <c r="A247" s="53"/>
      <c r="B247" s="40"/>
      <c r="C247" s="17" t="s">
        <v>244</v>
      </c>
      <c r="D247" s="40"/>
      <c r="E247" s="17" t="s">
        <v>26</v>
      </c>
      <c r="F247" s="38">
        <v>19.853000000000002</v>
      </c>
      <c r="G247" s="38">
        <v>19.917999999999999</v>
      </c>
      <c r="H247" s="17">
        <f>G247-F247</f>
        <v>6.4999999999997726E-2</v>
      </c>
      <c r="I247" s="39"/>
      <c r="J247" s="17"/>
      <c r="K247" s="98"/>
      <c r="L247" s="34"/>
      <c r="M247" s="38"/>
      <c r="N247" s="38"/>
      <c r="O247" s="17"/>
      <c r="P247" s="16"/>
      <c r="Q247" s="18"/>
      <c r="R247" s="18"/>
      <c r="S247" s="21"/>
      <c r="T247" s="12"/>
      <c r="U247" s="133"/>
    </row>
    <row r="248" spans="1:21" x14ac:dyDescent="0.25">
      <c r="A248" s="53"/>
      <c r="B248" s="40"/>
      <c r="C248" s="17" t="s">
        <v>277</v>
      </c>
      <c r="D248" s="40"/>
      <c r="E248" s="17" t="s">
        <v>25</v>
      </c>
      <c r="F248" s="38">
        <v>20.834</v>
      </c>
      <c r="G248" s="38">
        <v>20.895</v>
      </c>
      <c r="H248" s="17">
        <f>G248-F248</f>
        <v>6.0999999999999943E-2</v>
      </c>
      <c r="I248" s="461" t="s">
        <v>18</v>
      </c>
      <c r="J248" s="256"/>
      <c r="K248" s="38">
        <f>L246*K246</f>
        <v>58.925341968436989</v>
      </c>
      <c r="L248" s="34" t="s">
        <v>163</v>
      </c>
      <c r="M248" s="38"/>
      <c r="N248" s="38"/>
      <c r="O248" s="17"/>
      <c r="P248" s="16">
        <v>0.29459999999999997</v>
      </c>
      <c r="Q248" s="18"/>
      <c r="R248" s="18"/>
      <c r="S248" s="287">
        <v>0.16550000000000001</v>
      </c>
      <c r="T248" s="12"/>
      <c r="U248" s="133"/>
    </row>
    <row r="249" spans="1:21" ht="13.8" thickBot="1" x14ac:dyDescent="0.3">
      <c r="A249" s="54"/>
      <c r="B249" s="55"/>
      <c r="C249" s="58"/>
      <c r="D249" s="55"/>
      <c r="E249" s="58"/>
      <c r="F249" s="60"/>
      <c r="G249" s="60"/>
      <c r="H249" s="58"/>
      <c r="I249" s="130"/>
      <c r="J249" s="58"/>
      <c r="K249" s="60"/>
      <c r="L249" s="61">
        <f>60*L246/B245</f>
        <v>349.13478799881727</v>
      </c>
      <c r="M249" s="60"/>
      <c r="N249" s="60"/>
      <c r="O249" s="58"/>
      <c r="P249" s="57"/>
      <c r="Q249" s="128"/>
      <c r="R249" s="128"/>
      <c r="S249" s="155"/>
      <c r="T249" s="89"/>
      <c r="U249" s="136"/>
    </row>
    <row r="250" spans="1:21" x14ac:dyDescent="0.25">
      <c r="A250" s="17"/>
      <c r="B250" s="17"/>
      <c r="C250" s="17"/>
      <c r="D250" s="17"/>
      <c r="E250" s="17"/>
      <c r="F250" s="38"/>
      <c r="G250" s="38"/>
      <c r="H250" s="17"/>
      <c r="I250" s="100"/>
      <c r="J250" s="17"/>
      <c r="K250" s="38"/>
      <c r="L250" s="42"/>
      <c r="M250" s="38"/>
      <c r="N250" s="38"/>
      <c r="O250" s="17"/>
      <c r="P250" s="17"/>
      <c r="R250" s="18"/>
    </row>
    <row r="251" spans="1:21" x14ac:dyDescent="0.25">
      <c r="A251" s="256" t="s">
        <v>331</v>
      </c>
      <c r="B251" s="17"/>
      <c r="C251" s="17"/>
      <c r="D251" s="17"/>
      <c r="E251" s="17"/>
      <c r="F251" s="38"/>
      <c r="G251" s="38"/>
      <c r="H251" s="17"/>
      <c r="I251" s="100"/>
      <c r="J251" s="17"/>
      <c r="K251" s="38"/>
      <c r="L251" s="42"/>
      <c r="M251" s="38"/>
      <c r="N251" s="38"/>
      <c r="O251" s="17"/>
      <c r="P251" s="17"/>
      <c r="R251" s="18"/>
    </row>
    <row r="252" spans="1:21" x14ac:dyDescent="0.25">
      <c r="A252" s="17"/>
      <c r="B252" s="17"/>
      <c r="C252" s="17"/>
      <c r="D252" s="17"/>
      <c r="E252" s="17"/>
      <c r="F252" s="38"/>
      <c r="G252" s="38"/>
      <c r="H252" s="17"/>
      <c r="I252" s="100"/>
      <c r="J252" s="17"/>
      <c r="K252" s="38"/>
      <c r="L252" s="42"/>
      <c r="M252" s="38"/>
      <c r="N252" s="38"/>
      <c r="O252" s="17"/>
      <c r="P252" s="17"/>
      <c r="R252" s="18"/>
    </row>
    <row r="253" spans="1:21" x14ac:dyDescent="0.25">
      <c r="A253" s="17"/>
      <c r="B253" s="17"/>
      <c r="C253" s="17"/>
      <c r="D253" s="17"/>
      <c r="E253" s="17"/>
      <c r="F253" s="38"/>
      <c r="G253" s="38"/>
      <c r="H253" s="17"/>
      <c r="I253" s="100"/>
      <c r="J253" s="17"/>
      <c r="K253" s="38"/>
      <c r="L253" s="42"/>
      <c r="M253" s="38"/>
      <c r="N253" s="38"/>
      <c r="O253" s="17"/>
      <c r="P253" s="17"/>
      <c r="R253" s="18"/>
    </row>
    <row r="254" spans="1:21" x14ac:dyDescent="0.25">
      <c r="A254" s="17"/>
      <c r="B254" s="17"/>
      <c r="C254" s="17"/>
      <c r="D254" s="17"/>
      <c r="E254" s="17"/>
      <c r="F254" s="38"/>
      <c r="G254" s="38"/>
      <c r="H254" s="17"/>
      <c r="I254" s="100"/>
      <c r="J254" s="17"/>
      <c r="K254" s="38"/>
      <c r="L254" s="42"/>
      <c r="M254" s="38"/>
      <c r="N254" s="38"/>
      <c r="O254" s="17"/>
      <c r="P254" s="17"/>
      <c r="R254" s="18"/>
    </row>
    <row r="255" spans="1:21" x14ac:dyDescent="0.25">
      <c r="A255" s="17"/>
      <c r="B255" s="17"/>
      <c r="C255" s="17"/>
      <c r="D255" s="17"/>
      <c r="E255" s="17"/>
      <c r="F255" s="38"/>
      <c r="G255" s="38"/>
      <c r="H255" s="17"/>
      <c r="I255" s="100"/>
      <c r="J255" s="17"/>
      <c r="K255" s="38"/>
      <c r="L255" s="42"/>
      <c r="M255" s="38"/>
      <c r="N255" s="38"/>
      <c r="O255" s="17"/>
      <c r="P255" s="17"/>
      <c r="R255" s="18"/>
    </row>
    <row r="256" spans="1:21" x14ac:dyDescent="0.25">
      <c r="A256" s="17"/>
      <c r="B256" s="17"/>
      <c r="C256" s="17"/>
      <c r="D256" s="17"/>
      <c r="E256" s="17"/>
      <c r="F256" s="38"/>
      <c r="G256" s="38"/>
      <c r="H256" s="17"/>
      <c r="I256" s="100"/>
      <c r="J256" s="17"/>
      <c r="K256" s="38"/>
      <c r="L256" s="42"/>
      <c r="M256" s="38"/>
      <c r="N256" s="38"/>
      <c r="O256" s="17"/>
      <c r="P256" s="17"/>
      <c r="R256" s="18"/>
    </row>
    <row r="257" spans="1:21" ht="15.6" x14ac:dyDescent="0.3">
      <c r="A257" s="71" t="s">
        <v>242</v>
      </c>
      <c r="B257" s="17"/>
      <c r="C257" s="17"/>
      <c r="D257" s="17"/>
      <c r="E257" s="17"/>
      <c r="F257" s="38"/>
      <c r="G257" s="38"/>
      <c r="H257" s="17"/>
      <c r="I257" s="100"/>
      <c r="J257" s="17"/>
      <c r="K257" s="38"/>
      <c r="L257" s="42"/>
      <c r="M257" s="38"/>
      <c r="N257" s="38"/>
      <c r="O257" s="17"/>
      <c r="P257" s="17"/>
      <c r="Q257" s="18"/>
      <c r="R257" s="18"/>
    </row>
    <row r="258" spans="1:21" x14ac:dyDescent="0.25">
      <c r="A258" s="17"/>
      <c r="B258" s="17"/>
      <c r="C258" s="17"/>
      <c r="D258" s="17"/>
      <c r="E258" s="17"/>
      <c r="F258" s="38"/>
      <c r="G258" s="38"/>
      <c r="H258" s="17"/>
      <c r="I258" s="100"/>
      <c r="J258" s="17"/>
      <c r="K258" s="38"/>
      <c r="L258" s="42"/>
      <c r="M258" s="38"/>
      <c r="N258" s="38"/>
      <c r="O258" s="17"/>
      <c r="P258" s="17"/>
      <c r="Q258" s="18"/>
      <c r="R258" s="18"/>
    </row>
    <row r="259" spans="1:21" ht="13.8" thickBot="1" x14ac:dyDescent="0.3">
      <c r="A259" s="17"/>
      <c r="B259" s="17"/>
      <c r="C259" s="17"/>
      <c r="D259" s="17"/>
      <c r="E259" s="17"/>
      <c r="F259" s="38"/>
      <c r="G259" s="38"/>
      <c r="H259" s="17"/>
      <c r="I259" s="100"/>
      <c r="J259" s="17"/>
      <c r="K259" s="38"/>
      <c r="L259" s="42"/>
      <c r="M259" s="38"/>
      <c r="N259" s="38"/>
      <c r="O259" s="17"/>
      <c r="P259" s="17"/>
      <c r="Q259" s="18"/>
      <c r="R259" s="18"/>
    </row>
    <row r="260" spans="1:21" x14ac:dyDescent="0.25">
      <c r="A260" s="121" t="s">
        <v>21</v>
      </c>
      <c r="B260" s="122" t="s">
        <v>60</v>
      </c>
      <c r="C260" s="123" t="s">
        <v>14</v>
      </c>
      <c r="D260" s="122" t="s">
        <v>3</v>
      </c>
      <c r="E260" s="469" t="s">
        <v>13</v>
      </c>
      <c r="F260" s="469"/>
      <c r="G260" s="469"/>
      <c r="H260" s="469"/>
      <c r="I260" s="472" t="s">
        <v>168</v>
      </c>
      <c r="J260" s="469"/>
      <c r="K260" s="469"/>
      <c r="L260" s="473"/>
      <c r="M260" s="469" t="s">
        <v>30</v>
      </c>
      <c r="N260" s="469"/>
      <c r="O260" s="469"/>
      <c r="P260" s="470" t="s">
        <v>106</v>
      </c>
      <c r="Q260" s="471"/>
      <c r="R260" s="471"/>
      <c r="S260" s="470" t="s">
        <v>337</v>
      </c>
      <c r="T260" s="471"/>
      <c r="U260" s="480"/>
    </row>
    <row r="261" spans="1:21" x14ac:dyDescent="0.25">
      <c r="A261" s="124"/>
      <c r="B261" s="116"/>
      <c r="C261" s="99"/>
      <c r="D261" s="40"/>
      <c r="E261" s="99"/>
      <c r="F261" s="94" t="s">
        <v>10</v>
      </c>
      <c r="G261" s="94" t="s">
        <v>11</v>
      </c>
      <c r="H261" s="99" t="s">
        <v>12</v>
      </c>
      <c r="I261" s="77"/>
      <c r="J261" s="99"/>
      <c r="K261" s="94"/>
      <c r="L261" s="119"/>
      <c r="M261" s="94" t="s">
        <v>9</v>
      </c>
      <c r="N261" s="94" t="s">
        <v>15</v>
      </c>
      <c r="O261" s="99" t="s">
        <v>20</v>
      </c>
      <c r="P261" s="77" t="s">
        <v>52</v>
      </c>
      <c r="Q261" s="101" t="s">
        <v>55</v>
      </c>
      <c r="R261" s="99" t="s">
        <v>51</v>
      </c>
      <c r="S261" s="77" t="s">
        <v>52</v>
      </c>
      <c r="T261" s="101" t="s">
        <v>55</v>
      </c>
      <c r="U261" s="83" t="s">
        <v>328</v>
      </c>
    </row>
    <row r="262" spans="1:21" x14ac:dyDescent="0.25">
      <c r="A262" s="125"/>
      <c r="B262" s="117" t="s">
        <v>76</v>
      </c>
      <c r="C262" s="92"/>
      <c r="D262" s="117"/>
      <c r="E262" s="92"/>
      <c r="F262" s="95" t="s">
        <v>4</v>
      </c>
      <c r="G262" s="95" t="s">
        <v>4</v>
      </c>
      <c r="H262" s="92" t="s">
        <v>4</v>
      </c>
      <c r="I262" s="91"/>
      <c r="J262" s="92"/>
      <c r="K262" s="92"/>
      <c r="L262" s="120"/>
      <c r="M262" s="95" t="s">
        <v>1</v>
      </c>
      <c r="N262" s="95"/>
      <c r="O262" s="92"/>
      <c r="P262" s="16" t="s">
        <v>54</v>
      </c>
      <c r="Q262" s="72" t="s">
        <v>20</v>
      </c>
      <c r="R262" s="17" t="s">
        <v>20</v>
      </c>
      <c r="S262" s="16" t="s">
        <v>54</v>
      </c>
      <c r="T262" s="72" t="s">
        <v>20</v>
      </c>
      <c r="U262" s="113"/>
    </row>
    <row r="263" spans="1:21" x14ac:dyDescent="0.25">
      <c r="A263" s="53"/>
      <c r="B263" s="40"/>
      <c r="C263" s="17"/>
      <c r="D263" s="40"/>
      <c r="E263" s="17"/>
      <c r="F263" s="38"/>
      <c r="G263" s="38"/>
      <c r="H263" s="17"/>
      <c r="I263" s="39"/>
      <c r="J263" s="17"/>
      <c r="K263" s="38"/>
      <c r="L263" s="34"/>
      <c r="M263" s="38"/>
      <c r="N263" s="38"/>
      <c r="O263" s="17"/>
      <c r="P263" s="16"/>
      <c r="Q263" s="18"/>
      <c r="R263" s="18"/>
      <c r="S263" s="21"/>
      <c r="T263" s="12"/>
      <c r="U263" s="133"/>
    </row>
    <row r="264" spans="1:21" x14ac:dyDescent="0.25">
      <c r="A264" s="53"/>
      <c r="B264" s="40"/>
      <c r="C264" s="17"/>
      <c r="D264" s="40"/>
      <c r="E264" s="17"/>
      <c r="F264" s="38"/>
      <c r="G264" s="38"/>
      <c r="H264" s="17"/>
      <c r="I264" s="39"/>
      <c r="J264" s="17"/>
      <c r="K264" s="38"/>
      <c r="L264" s="34"/>
      <c r="M264" s="38"/>
      <c r="N264" s="38"/>
      <c r="O264" s="17"/>
      <c r="P264" s="16"/>
      <c r="Q264" s="18"/>
      <c r="R264" s="18"/>
      <c r="S264" s="21"/>
      <c r="T264" s="12"/>
      <c r="U264" s="133"/>
    </row>
    <row r="265" spans="1:21" x14ac:dyDescent="0.25">
      <c r="A265" s="49">
        <v>60</v>
      </c>
      <c r="B265" s="36">
        <v>80</v>
      </c>
      <c r="C265" s="14" t="s">
        <v>66</v>
      </c>
      <c r="D265" s="36" t="s">
        <v>61</v>
      </c>
      <c r="E265" s="14" t="s">
        <v>24</v>
      </c>
      <c r="F265" s="28">
        <v>18.614999999999998</v>
      </c>
      <c r="G265" s="28">
        <v>18.672000000000001</v>
      </c>
      <c r="H265" s="14">
        <f>G265-F265</f>
        <v>5.700000000000216E-2</v>
      </c>
      <c r="I265" s="13" t="s">
        <v>162</v>
      </c>
      <c r="J265" s="14" t="s">
        <v>169</v>
      </c>
      <c r="K265" s="28" t="s">
        <v>166</v>
      </c>
      <c r="L265" s="32" t="s">
        <v>167</v>
      </c>
      <c r="M265" s="28">
        <f>60*SUM(H265:H268)/B265</f>
        <v>0.17925000000000324</v>
      </c>
      <c r="N265" s="28">
        <f>100*SUM(H265:H268)/K268</f>
        <v>0.40808250613115837</v>
      </c>
      <c r="O265" s="14">
        <f>1000*SUM(H265:H268)/K268</f>
        <v>4.0808250613115833</v>
      </c>
      <c r="P265" s="13">
        <v>0.2329</v>
      </c>
      <c r="Q265" s="85">
        <f>SUM(P265:P268)*2/K268</f>
        <v>1.4755853631738104E-2</v>
      </c>
      <c r="R265" s="15"/>
      <c r="S265" s="435">
        <v>0.1118</v>
      </c>
      <c r="T265" s="15">
        <f>SUM(S265:S268)*2/K268</f>
        <v>7.5606248416265126E-3</v>
      </c>
      <c r="U265" s="436">
        <f>(Q265-T265)/T265</f>
        <v>0.95167118337850054</v>
      </c>
    </row>
    <row r="266" spans="1:21" x14ac:dyDescent="0.25">
      <c r="A266" s="49"/>
      <c r="B266" s="36"/>
      <c r="C266" s="14" t="s">
        <v>67</v>
      </c>
      <c r="D266" s="36">
        <v>304</v>
      </c>
      <c r="E266" s="14" t="s">
        <v>23</v>
      </c>
      <c r="F266" s="28">
        <v>18.812999999999999</v>
      </c>
      <c r="G266" s="28">
        <v>18.867999999999999</v>
      </c>
      <c r="H266" s="14">
        <f>G266-F266</f>
        <v>5.4999999999999716E-2</v>
      </c>
      <c r="I266" s="152">
        <f>7+29/32-2*1.2</f>
        <v>5.5062499999999996</v>
      </c>
      <c r="J266" s="14">
        <f>27+2.5/12</f>
        <v>27.208333333333332</v>
      </c>
      <c r="K266" s="28">
        <v>0.124435</v>
      </c>
      <c r="L266" s="32">
        <f>I266*3.14159*J266</f>
        <v>470.66008746614574</v>
      </c>
      <c r="M266" s="28"/>
      <c r="N266" s="28"/>
      <c r="O266" s="14"/>
      <c r="P266" s="13"/>
      <c r="Q266" s="15"/>
      <c r="R266" s="15"/>
      <c r="S266" s="20"/>
      <c r="T266" s="15"/>
      <c r="U266" s="127"/>
    </row>
    <row r="267" spans="1:21" x14ac:dyDescent="0.25">
      <c r="A267" s="49"/>
      <c r="B267" s="36"/>
      <c r="C267" s="14" t="s">
        <v>244</v>
      </c>
      <c r="D267" s="36"/>
      <c r="E267" s="14" t="s">
        <v>26</v>
      </c>
      <c r="F267" s="28">
        <v>20.486999999999998</v>
      </c>
      <c r="G267" s="28">
        <v>20.553000000000001</v>
      </c>
      <c r="H267" s="14">
        <f>G267-F267</f>
        <v>6.6000000000002501E-2</v>
      </c>
      <c r="I267" s="33"/>
      <c r="J267" s="14"/>
      <c r="K267" s="28"/>
      <c r="L267" s="32"/>
      <c r="M267" s="28"/>
      <c r="N267" s="28"/>
      <c r="O267" s="14"/>
      <c r="P267" s="13"/>
      <c r="Q267" s="15"/>
      <c r="R267" s="15"/>
      <c r="S267" s="20"/>
      <c r="T267" s="15"/>
      <c r="U267" s="127"/>
    </row>
    <row r="268" spans="1:21" x14ac:dyDescent="0.25">
      <c r="A268" s="49"/>
      <c r="B268" s="36"/>
      <c r="C268" s="14" t="s">
        <v>277</v>
      </c>
      <c r="D268" s="36"/>
      <c r="E268" s="14" t="s">
        <v>25</v>
      </c>
      <c r="F268" s="28">
        <v>18.873000000000001</v>
      </c>
      <c r="G268" s="28">
        <v>18.934000000000001</v>
      </c>
      <c r="H268" s="14">
        <f>G268-F268</f>
        <v>6.0999999999999943E-2</v>
      </c>
      <c r="I268" s="459" t="s">
        <v>18</v>
      </c>
      <c r="J268" s="460"/>
      <c r="K268" s="28">
        <f>L266*K266</f>
        <v>58.56658798384985</v>
      </c>
      <c r="L268" s="32" t="s">
        <v>163</v>
      </c>
      <c r="M268" s="28"/>
      <c r="N268" s="28"/>
      <c r="O268" s="14"/>
      <c r="P268" s="13">
        <v>0.19919999999999999</v>
      </c>
      <c r="Q268" s="15"/>
      <c r="R268" s="15"/>
      <c r="S268" s="435">
        <v>0.1096</v>
      </c>
      <c r="T268" s="15"/>
      <c r="U268" s="127"/>
    </row>
    <row r="269" spans="1:21" x14ac:dyDescent="0.25">
      <c r="A269" s="49"/>
      <c r="B269" s="36"/>
      <c r="C269" s="14"/>
      <c r="D269" s="36"/>
      <c r="E269" s="15"/>
      <c r="F269" s="102"/>
      <c r="G269" s="102"/>
      <c r="H269" s="15"/>
      <c r="I269" s="13"/>
      <c r="J269" s="14"/>
      <c r="K269" s="28"/>
      <c r="L269" s="32">
        <f>60*L266/B265</f>
        <v>352.99506559960935</v>
      </c>
      <c r="M269" s="28"/>
      <c r="N269" s="28"/>
      <c r="O269" s="14"/>
      <c r="P269" s="13"/>
      <c r="Q269" s="15"/>
      <c r="R269" s="15"/>
      <c r="S269" s="20"/>
      <c r="T269" s="15"/>
      <c r="U269" s="127"/>
    </row>
    <row r="270" spans="1:21" x14ac:dyDescent="0.25">
      <c r="A270" s="53">
        <v>61</v>
      </c>
      <c r="B270" s="40">
        <v>67.84</v>
      </c>
      <c r="C270" s="17" t="s">
        <v>241</v>
      </c>
      <c r="D270" s="40" t="s">
        <v>61</v>
      </c>
      <c r="E270" s="17" t="s">
        <v>24</v>
      </c>
      <c r="F270" s="38">
        <v>18.533000000000001</v>
      </c>
      <c r="G270" s="38">
        <v>18.59</v>
      </c>
      <c r="H270" s="17">
        <f>G270-F270</f>
        <v>5.6999999999998607E-2</v>
      </c>
      <c r="I270" s="16" t="s">
        <v>162</v>
      </c>
      <c r="J270" s="17" t="s">
        <v>169</v>
      </c>
      <c r="K270" s="38" t="s">
        <v>166</v>
      </c>
      <c r="L270" s="34" t="s">
        <v>167</v>
      </c>
      <c r="M270" s="38">
        <f>60*SUM(H270:H273)/B270</f>
        <v>0.20430424528301402</v>
      </c>
      <c r="N270" s="38">
        <f>100*SUM(H270:H273)/K273</f>
        <v>0.40665396952037636</v>
      </c>
      <c r="O270" s="17">
        <f>1000*SUM(H270:H273)/K273</f>
        <v>4.0665396952037636</v>
      </c>
      <c r="P270" s="16">
        <v>0.26879999999999998</v>
      </c>
      <c r="Q270" s="86">
        <f>SUM(P270:P273)*2/K273</f>
        <v>1.8663832834870702E-2</v>
      </c>
      <c r="R270" s="18"/>
      <c r="S270" s="450">
        <v>0.2334</v>
      </c>
      <c r="T270" s="18">
        <f>SUM(S270:S273)*2/K273</f>
        <v>1.6135888678025356E-2</v>
      </c>
      <c r="U270" s="451">
        <f>(Q270-T270)/T270</f>
        <v>0.15666593934104323</v>
      </c>
    </row>
    <row r="271" spans="1:21" x14ac:dyDescent="0.25">
      <c r="A271" s="53"/>
      <c r="B271" s="40"/>
      <c r="C271" s="17" t="s">
        <v>65</v>
      </c>
      <c r="D271" s="40">
        <v>304</v>
      </c>
      <c r="E271" s="17" t="s">
        <v>23</v>
      </c>
      <c r="F271" s="38">
        <v>18.841000000000001</v>
      </c>
      <c r="G271" s="38">
        <v>18.898</v>
      </c>
      <c r="H271" s="17">
        <f>G271-F271</f>
        <v>5.6999999999998607E-2</v>
      </c>
      <c r="I271" s="16">
        <v>8.375</v>
      </c>
      <c r="J271" s="17">
        <f>10+7.5/12</f>
        <v>10.625</v>
      </c>
      <c r="K271" s="38">
        <v>0.20319999999999999</v>
      </c>
      <c r="L271" s="34">
        <f>I271*3.14159*J271</f>
        <v>279.55242265624997</v>
      </c>
      <c r="M271" s="38"/>
      <c r="N271" s="38"/>
      <c r="O271" s="17"/>
      <c r="P271" s="16"/>
      <c r="Q271" s="17"/>
      <c r="R271" s="18"/>
      <c r="S271" s="452"/>
      <c r="T271" s="18"/>
      <c r="U271" s="126"/>
    </row>
    <row r="272" spans="1:21" x14ac:dyDescent="0.25">
      <c r="A272" s="53"/>
      <c r="B272" s="40"/>
      <c r="C272" s="17" t="s">
        <v>244</v>
      </c>
      <c r="D272" s="40"/>
      <c r="E272" s="17" t="s">
        <v>26</v>
      </c>
      <c r="F272" s="38">
        <v>18.32</v>
      </c>
      <c r="G272" s="38">
        <v>18.38</v>
      </c>
      <c r="H272" s="17">
        <f>G272-F272</f>
        <v>5.9999999999998721E-2</v>
      </c>
      <c r="I272" s="39"/>
      <c r="J272" s="17"/>
      <c r="K272" s="98"/>
      <c r="L272" s="34"/>
      <c r="M272" s="38"/>
      <c r="N272" s="38"/>
      <c r="O272" s="17"/>
      <c r="P272" s="16"/>
      <c r="Q272" s="17"/>
      <c r="R272" s="18"/>
      <c r="S272" s="452"/>
      <c r="T272" s="18"/>
      <c r="U272" s="126"/>
    </row>
    <row r="273" spans="1:21" x14ac:dyDescent="0.25">
      <c r="A273" s="53"/>
      <c r="B273" s="40"/>
      <c r="C273" s="17" t="s">
        <v>277</v>
      </c>
      <c r="D273" s="40"/>
      <c r="E273" s="17" t="s">
        <v>25</v>
      </c>
      <c r="F273" s="38">
        <v>18.643000000000001</v>
      </c>
      <c r="G273" s="38">
        <v>18.7</v>
      </c>
      <c r="H273" s="17">
        <f>G273-F273</f>
        <v>5.6999999999998607E-2</v>
      </c>
      <c r="I273" s="461" t="s">
        <v>18</v>
      </c>
      <c r="J273" s="256"/>
      <c r="K273" s="38">
        <f>L271*K271</f>
        <v>56.805052283749994</v>
      </c>
      <c r="L273" s="34" t="s">
        <v>163</v>
      </c>
      <c r="M273" s="38"/>
      <c r="N273" s="38"/>
      <c r="O273" s="17"/>
      <c r="P273" s="16">
        <v>0.26129999999999998</v>
      </c>
      <c r="Q273" s="17"/>
      <c r="R273" s="18"/>
      <c r="S273" s="450">
        <v>0.22489999999999999</v>
      </c>
      <c r="T273" s="18"/>
      <c r="U273" s="126"/>
    </row>
    <row r="274" spans="1:21" x14ac:dyDescent="0.25">
      <c r="A274" s="53"/>
      <c r="B274" s="40"/>
      <c r="C274" s="17"/>
      <c r="D274" s="40"/>
      <c r="E274" s="17"/>
      <c r="F274" s="38"/>
      <c r="G274" s="38"/>
      <c r="H274" s="17"/>
      <c r="I274" s="39"/>
      <c r="J274" s="17"/>
      <c r="K274" s="38"/>
      <c r="L274" s="34">
        <f>60*L271/A270</f>
        <v>274.96959605532783</v>
      </c>
      <c r="M274" s="38"/>
      <c r="N274" s="38"/>
      <c r="O274" s="17"/>
      <c r="P274" s="16"/>
      <c r="Q274" s="17"/>
      <c r="R274" s="18"/>
      <c r="S274" s="452"/>
      <c r="T274" s="18"/>
      <c r="U274" s="126"/>
    </row>
    <row r="275" spans="1:21" x14ac:dyDescent="0.25">
      <c r="A275" s="49">
        <v>62</v>
      </c>
      <c r="B275" s="36">
        <v>67.56</v>
      </c>
      <c r="C275" s="14" t="s">
        <v>241</v>
      </c>
      <c r="D275" s="36" t="s">
        <v>61</v>
      </c>
      <c r="E275" s="14" t="s">
        <v>24</v>
      </c>
      <c r="F275" s="28">
        <v>18.265000000000001</v>
      </c>
      <c r="G275" s="28">
        <v>18.366</v>
      </c>
      <c r="H275" s="14">
        <f>G275-F275</f>
        <v>0.10099999999999909</v>
      </c>
      <c r="I275" s="13" t="s">
        <v>162</v>
      </c>
      <c r="J275" s="14" t="s">
        <v>169</v>
      </c>
      <c r="K275" s="28" t="s">
        <v>166</v>
      </c>
      <c r="L275" s="32" t="s">
        <v>167</v>
      </c>
      <c r="M275" s="28">
        <f>60*SUM(H275:H278)/B275</f>
        <v>0.39076376554173547</v>
      </c>
      <c r="N275" s="28">
        <f>100*SUM(H275:H278)/K278</f>
        <v>0.77762851314358483</v>
      </c>
      <c r="O275" s="14">
        <f>1000*SUM(H275:H278)/K278</f>
        <v>7.7762851314358494</v>
      </c>
      <c r="P275" s="13">
        <v>0.27710000000000001</v>
      </c>
      <c r="Q275" s="85">
        <f>SUM(P275:P278)*2/K278</f>
        <v>1.9200354924527315E-2</v>
      </c>
      <c r="R275" s="15"/>
      <c r="S275" s="435">
        <v>0.23569999999999999</v>
      </c>
      <c r="T275" s="15">
        <f>SUM(S275:S278)*2/K278</f>
        <v>1.6351406826373961E-2</v>
      </c>
      <c r="U275" s="436">
        <f>(Q275-T275)/T275</f>
        <v>0.17423259835711202</v>
      </c>
    </row>
    <row r="276" spans="1:21" x14ac:dyDescent="0.25">
      <c r="A276" s="49"/>
      <c r="B276" s="36"/>
      <c r="C276" s="14" t="s">
        <v>65</v>
      </c>
      <c r="D276" s="36">
        <v>304</v>
      </c>
      <c r="E276" s="14" t="s">
        <v>23</v>
      </c>
      <c r="F276" s="28">
        <v>19.861000000000001</v>
      </c>
      <c r="G276" s="28">
        <v>19.966999999999999</v>
      </c>
      <c r="H276" s="14">
        <f>G276-F276</f>
        <v>0.1059999999999981</v>
      </c>
      <c r="I276" s="13">
        <v>8.375</v>
      </c>
      <c r="J276" s="14">
        <f>10+7/12</f>
        <v>10.583333333333334</v>
      </c>
      <c r="K276" s="28">
        <v>0.20319999999999999</v>
      </c>
      <c r="L276" s="32">
        <f>I276*3.14159*J276</f>
        <v>278.45613864583333</v>
      </c>
      <c r="M276" s="102"/>
      <c r="N276" s="102"/>
      <c r="O276" s="15"/>
      <c r="P276" s="13"/>
      <c r="Q276" s="14"/>
      <c r="R276" s="15"/>
      <c r="S276" s="20"/>
      <c r="T276" s="15"/>
      <c r="U276" s="127"/>
    </row>
    <row r="277" spans="1:21" x14ac:dyDescent="0.25">
      <c r="A277" s="132"/>
      <c r="B277" s="36"/>
      <c r="C277" s="14" t="s">
        <v>244</v>
      </c>
      <c r="D277" s="36"/>
      <c r="E277" s="14" t="s">
        <v>26</v>
      </c>
      <c r="F277" s="28">
        <v>19.654</v>
      </c>
      <c r="G277" s="28">
        <v>19.747</v>
      </c>
      <c r="H277" s="14">
        <f>G277-F277</f>
        <v>9.2999999999999972E-2</v>
      </c>
      <c r="I277" s="20"/>
      <c r="J277" s="15"/>
      <c r="K277" s="102"/>
      <c r="L277" s="32"/>
      <c r="M277" s="102"/>
      <c r="N277" s="102"/>
      <c r="O277" s="15"/>
      <c r="P277" s="13"/>
      <c r="Q277" s="14"/>
      <c r="R277" s="15"/>
      <c r="S277" s="20"/>
      <c r="T277" s="15"/>
      <c r="U277" s="127"/>
    </row>
    <row r="278" spans="1:21" x14ac:dyDescent="0.25">
      <c r="A278" s="132"/>
      <c r="B278" s="131"/>
      <c r="C278" s="14" t="s">
        <v>277</v>
      </c>
      <c r="D278" s="36"/>
      <c r="E278" s="14" t="s">
        <v>25</v>
      </c>
      <c r="F278" s="28">
        <v>18.533000000000001</v>
      </c>
      <c r="G278" s="28">
        <v>18.672999999999998</v>
      </c>
      <c r="H278" s="14">
        <f>G278-F278</f>
        <v>0.13999999999999702</v>
      </c>
      <c r="I278" s="459" t="s">
        <v>18</v>
      </c>
      <c r="J278" s="460"/>
      <c r="K278" s="28">
        <f>L276*K276</f>
        <v>56.582287372833328</v>
      </c>
      <c r="L278" s="32" t="s">
        <v>163</v>
      </c>
      <c r="M278" s="102"/>
      <c r="N278" s="102"/>
      <c r="O278" s="15"/>
      <c r="P278" s="13">
        <v>0.2661</v>
      </c>
      <c r="Q278" s="14"/>
      <c r="R278" s="15"/>
      <c r="S278" s="435">
        <v>0.22689999999999999</v>
      </c>
      <c r="T278" s="15"/>
      <c r="U278" s="127"/>
    </row>
    <row r="279" spans="1:21" x14ac:dyDescent="0.25">
      <c r="A279" s="132"/>
      <c r="B279" s="131"/>
      <c r="C279" s="14"/>
      <c r="D279" s="36"/>
      <c r="E279" s="15"/>
      <c r="F279" s="102"/>
      <c r="G279" s="102"/>
      <c r="H279" s="15"/>
      <c r="I279" s="13"/>
      <c r="J279" s="14"/>
      <c r="K279" s="28"/>
      <c r="L279" s="32">
        <f>60*L276/A275</f>
        <v>269.47368256048384</v>
      </c>
      <c r="M279" s="102"/>
      <c r="N279" s="102"/>
      <c r="O279" s="15"/>
      <c r="P279" s="13"/>
      <c r="Q279" s="14"/>
      <c r="R279" s="15"/>
      <c r="S279" s="20"/>
      <c r="T279" s="15"/>
      <c r="U279" s="127"/>
    </row>
    <row r="280" spans="1:21" x14ac:dyDescent="0.25">
      <c r="A280" s="48">
        <v>63</v>
      </c>
      <c r="B280" s="40">
        <v>59.97</v>
      </c>
      <c r="C280" s="17" t="s">
        <v>241</v>
      </c>
      <c r="D280" s="40" t="s">
        <v>61</v>
      </c>
      <c r="E280" s="17" t="s">
        <v>24</v>
      </c>
      <c r="F280" s="38">
        <v>21.635999999999999</v>
      </c>
      <c r="G280" s="38">
        <v>21.669</v>
      </c>
      <c r="H280" s="38">
        <f>G280-F280</f>
        <v>3.3000000000001251E-2</v>
      </c>
      <c r="I280" s="16" t="s">
        <v>162</v>
      </c>
      <c r="J280" s="17" t="s">
        <v>169</v>
      </c>
      <c r="K280" s="38" t="s">
        <v>166</v>
      </c>
      <c r="L280" s="34" t="s">
        <v>167</v>
      </c>
      <c r="M280" s="38">
        <f>60*SUM(H280:H283)/A280</f>
        <v>0.12571428571428708</v>
      </c>
      <c r="N280" s="38">
        <f>100*SUM(H280:H283)/K283</f>
        <v>0.27181326927313115</v>
      </c>
      <c r="O280" s="17">
        <f>1000*SUM(H280:H283)/K283</f>
        <v>2.7181326927313116</v>
      </c>
      <c r="P280" s="16">
        <v>0.66059999999999997</v>
      </c>
      <c r="Q280" s="86">
        <f>SUM(P280:P283)*2/K283</f>
        <v>5.3522503749599597E-2</v>
      </c>
      <c r="R280" s="12"/>
      <c r="S280" s="287">
        <v>0.59360000000000002</v>
      </c>
      <c r="T280" s="18">
        <f>SUM(S280:S283)*2/K283</f>
        <v>4.9708881214040254E-2</v>
      </c>
      <c r="U280" s="284">
        <f>(Q280-T280)/T280</f>
        <v>7.6719138359569158E-2</v>
      </c>
    </row>
    <row r="281" spans="1:21" x14ac:dyDescent="0.25">
      <c r="A281" s="48"/>
      <c r="B281" s="40"/>
      <c r="C281" s="17" t="s">
        <v>65</v>
      </c>
      <c r="D281" s="40">
        <v>304</v>
      </c>
      <c r="E281" s="17" t="s">
        <v>23</v>
      </c>
      <c r="F281" s="38">
        <v>18.797000000000001</v>
      </c>
      <c r="G281" s="38">
        <v>18.829000000000001</v>
      </c>
      <c r="H281" s="17">
        <f>G281-F281</f>
        <v>3.2000000000000028E-2</v>
      </c>
      <c r="I281" s="16">
        <v>8.375</v>
      </c>
      <c r="J281" s="17">
        <f>9+1/12</f>
        <v>9.0833333333333339</v>
      </c>
      <c r="K281" s="38">
        <v>0.20319999999999999</v>
      </c>
      <c r="L281" s="34">
        <f>I281*3.14159*J281</f>
        <v>238.98991427083334</v>
      </c>
      <c r="M281" s="38"/>
      <c r="N281" s="38"/>
      <c r="O281" s="17"/>
      <c r="P281" s="16"/>
      <c r="Q281" s="17"/>
      <c r="R281" s="12"/>
      <c r="S281" s="21"/>
      <c r="T281" s="18"/>
      <c r="U281" s="133"/>
    </row>
    <row r="282" spans="1:21" x14ac:dyDescent="0.25">
      <c r="A282" s="48"/>
      <c r="B282" s="40"/>
      <c r="C282" s="17" t="s">
        <v>244</v>
      </c>
      <c r="D282" s="40"/>
      <c r="E282" s="17" t="s">
        <v>26</v>
      </c>
      <c r="F282" s="38">
        <v>19.8</v>
      </c>
      <c r="G282" s="38">
        <v>19.838999999999999</v>
      </c>
      <c r="H282" s="17">
        <f>G282-F282</f>
        <v>3.8999999999997925E-2</v>
      </c>
      <c r="I282" s="39"/>
      <c r="J282" s="17"/>
      <c r="K282" s="98"/>
      <c r="L282" s="34"/>
      <c r="M282" s="38"/>
      <c r="N282" s="38"/>
      <c r="O282" s="17"/>
      <c r="P282" s="16"/>
      <c r="Q282" s="17"/>
      <c r="R282" s="12"/>
      <c r="S282" s="21"/>
      <c r="T282" s="18"/>
      <c r="U282" s="133"/>
    </row>
    <row r="283" spans="1:21" x14ac:dyDescent="0.25">
      <c r="A283" s="48"/>
      <c r="B283" s="40"/>
      <c r="C283" s="17" t="s">
        <v>277</v>
      </c>
      <c r="D283" s="40"/>
      <c r="E283" s="17" t="s">
        <v>25</v>
      </c>
      <c r="F283" s="38">
        <v>21.581</v>
      </c>
      <c r="G283" s="38">
        <v>21.609000000000002</v>
      </c>
      <c r="H283" s="17">
        <f>G283-F283</f>
        <v>2.8000000000002245E-2</v>
      </c>
      <c r="I283" s="461" t="s">
        <v>18</v>
      </c>
      <c r="J283" s="256"/>
      <c r="K283" s="38">
        <f>L281*K281</f>
        <v>48.562750579833335</v>
      </c>
      <c r="L283" s="34" t="s">
        <v>163</v>
      </c>
      <c r="M283" s="38"/>
      <c r="N283" s="38"/>
      <c r="O283" s="17"/>
      <c r="P283" s="16">
        <v>0.63900000000000001</v>
      </c>
      <c r="Q283" s="17"/>
      <c r="R283" s="12"/>
      <c r="S283" s="287">
        <v>0.61339999999999995</v>
      </c>
      <c r="T283" s="18"/>
      <c r="U283" s="133"/>
    </row>
    <row r="284" spans="1:21" x14ac:dyDescent="0.25">
      <c r="A284" s="48"/>
      <c r="B284" s="40"/>
      <c r="C284" s="17"/>
      <c r="D284" s="40"/>
      <c r="E284" s="17"/>
      <c r="F284" s="38"/>
      <c r="G284" s="38"/>
      <c r="H284" s="17"/>
      <c r="I284" s="39"/>
      <c r="J284" s="17"/>
      <c r="K284" s="38"/>
      <c r="L284" s="34">
        <f>60*L281/B280</f>
        <v>239.10946900533602</v>
      </c>
      <c r="M284" s="38"/>
      <c r="N284" s="38"/>
      <c r="O284" s="17"/>
      <c r="P284" s="16"/>
      <c r="Q284" s="17"/>
      <c r="R284" s="12"/>
      <c r="S284" s="21"/>
      <c r="T284" s="18"/>
      <c r="U284" s="133"/>
    </row>
    <row r="285" spans="1:21" x14ac:dyDescent="0.25">
      <c r="A285" s="49">
        <v>64</v>
      </c>
      <c r="B285" s="36">
        <v>80</v>
      </c>
      <c r="C285" s="14" t="s">
        <v>66</v>
      </c>
      <c r="D285" s="36" t="s">
        <v>61</v>
      </c>
      <c r="E285" s="14" t="s">
        <v>24</v>
      </c>
      <c r="F285" s="28">
        <v>19.331</v>
      </c>
      <c r="G285" s="28">
        <v>19.393999999999998</v>
      </c>
      <c r="H285" s="14">
        <f>G285-F285</f>
        <v>6.2999999999998835E-2</v>
      </c>
      <c r="I285" s="13" t="s">
        <v>162</v>
      </c>
      <c r="J285" s="14" t="s">
        <v>169</v>
      </c>
      <c r="K285" s="28" t="s">
        <v>166</v>
      </c>
      <c r="L285" s="32" t="s">
        <v>167</v>
      </c>
      <c r="M285" s="28">
        <f>60*SUM(H285:H288)/B285</f>
        <v>0.18224999999999625</v>
      </c>
      <c r="N285" s="28">
        <f>100*SUM(H285:H288)/K288</f>
        <v>0.41491233886973911</v>
      </c>
      <c r="O285" s="14">
        <f>1000*SUM(H285:H288)/K288</f>
        <v>4.1491233886973911</v>
      </c>
      <c r="P285" s="13"/>
      <c r="Q285" s="85">
        <f>SUM(P285:P288)*2/K288</f>
        <v>1.8570315216244346E-2</v>
      </c>
      <c r="R285" s="15"/>
      <c r="S285" s="20"/>
      <c r="T285" s="15">
        <f>SUM(S285:S288)*2/K288</f>
        <v>1.2993756785180163E-2</v>
      </c>
      <c r="U285" s="436">
        <f>(Q285-T285)/T285</f>
        <v>0.42917214191852848</v>
      </c>
    </row>
    <row r="286" spans="1:21" x14ac:dyDescent="0.25">
      <c r="A286" s="49"/>
      <c r="B286" s="36"/>
      <c r="C286" s="14" t="s">
        <v>67</v>
      </c>
      <c r="D286" s="36">
        <v>304</v>
      </c>
      <c r="E286" s="14" t="s">
        <v>23</v>
      </c>
      <c r="F286" s="28">
        <v>20.190000000000001</v>
      </c>
      <c r="G286" s="28">
        <v>20.239999999999998</v>
      </c>
      <c r="H286" s="14">
        <f>G286-F286</f>
        <v>4.9999999999997158E-2</v>
      </c>
      <c r="I286" s="152">
        <f>7+29/32-2*1.2</f>
        <v>5.5062499999999996</v>
      </c>
      <c r="J286" s="14">
        <f>27+2.5/12</f>
        <v>27.208333333333332</v>
      </c>
      <c r="K286" s="28">
        <v>0.124435</v>
      </c>
      <c r="L286" s="32">
        <f>I286*3.14159*J286</f>
        <v>470.66008746614574</v>
      </c>
      <c r="M286" s="28"/>
      <c r="N286" s="28"/>
      <c r="O286" s="14"/>
      <c r="P286" s="13">
        <v>0.26469999999999999</v>
      </c>
      <c r="Q286" s="15"/>
      <c r="R286" s="15"/>
      <c r="S286" s="435">
        <v>0.1845</v>
      </c>
      <c r="T286" s="15"/>
      <c r="U286" s="127"/>
    </row>
    <row r="287" spans="1:21" x14ac:dyDescent="0.25">
      <c r="A287" s="49"/>
      <c r="B287" s="36"/>
      <c r="C287" s="14" t="s">
        <v>244</v>
      </c>
      <c r="D287" s="36"/>
      <c r="E287" s="14" t="s">
        <v>26</v>
      </c>
      <c r="F287" s="28">
        <v>19.16</v>
      </c>
      <c r="G287" s="28">
        <v>19.218</v>
      </c>
      <c r="H287" s="14">
        <f>G287-F287</f>
        <v>5.7999999999999829E-2</v>
      </c>
      <c r="I287" s="20"/>
      <c r="J287" s="15"/>
      <c r="K287" s="102"/>
      <c r="L287" s="32"/>
      <c r="M287" s="28"/>
      <c r="N287" s="28"/>
      <c r="O287" s="14"/>
      <c r="P287" s="13">
        <v>0.27910000000000001</v>
      </c>
      <c r="Q287" s="15"/>
      <c r="R287" s="15"/>
      <c r="S287" s="435">
        <v>0.19600000000000001</v>
      </c>
      <c r="T287" s="15"/>
      <c r="U287" s="127"/>
    </row>
    <row r="288" spans="1:21" x14ac:dyDescent="0.25">
      <c r="A288" s="49"/>
      <c r="B288" s="36"/>
      <c r="C288" s="14" t="s">
        <v>277</v>
      </c>
      <c r="D288" s="36"/>
      <c r="E288" s="14" t="s">
        <v>25</v>
      </c>
      <c r="F288" s="28">
        <v>18.568000000000001</v>
      </c>
      <c r="G288" s="28">
        <v>18.64</v>
      </c>
      <c r="H288" s="14">
        <f>G288-F288</f>
        <v>7.1999999999999176E-2</v>
      </c>
      <c r="I288" s="459" t="s">
        <v>18</v>
      </c>
      <c r="J288" s="460"/>
      <c r="K288" s="28">
        <f>L286*K286</f>
        <v>58.56658798384985</v>
      </c>
      <c r="L288" s="32" t="s">
        <v>163</v>
      </c>
      <c r="M288" s="28"/>
      <c r="N288" s="28"/>
      <c r="O288" s="14"/>
      <c r="P288" s="13"/>
      <c r="Q288" s="15"/>
      <c r="R288" s="15"/>
      <c r="S288" s="20"/>
      <c r="T288" s="15"/>
      <c r="U288" s="127"/>
    </row>
    <row r="289" spans="1:21" x14ac:dyDescent="0.25">
      <c r="A289" s="49"/>
      <c r="B289" s="36"/>
      <c r="C289" s="14"/>
      <c r="D289" s="36"/>
      <c r="E289" s="14"/>
      <c r="F289" s="28"/>
      <c r="G289" s="28"/>
      <c r="H289" s="14"/>
      <c r="I289" s="13"/>
      <c r="J289" s="14"/>
      <c r="K289" s="28"/>
      <c r="L289" s="32">
        <f>60*L286/B285</f>
        <v>352.99506559960935</v>
      </c>
      <c r="M289" s="28"/>
      <c r="N289" s="28"/>
      <c r="O289" s="14"/>
      <c r="P289" s="13"/>
      <c r="Q289" s="15"/>
      <c r="R289" s="15"/>
      <c r="S289" s="20"/>
      <c r="T289" s="15"/>
      <c r="U289" s="127"/>
    </row>
    <row r="290" spans="1:21" x14ac:dyDescent="0.25">
      <c r="A290" s="53">
        <v>65</v>
      </c>
      <c r="B290" s="40">
        <v>42.28</v>
      </c>
      <c r="C290" s="17" t="s">
        <v>196</v>
      </c>
      <c r="D290" s="40" t="s">
        <v>61</v>
      </c>
      <c r="E290" s="17" t="s">
        <v>24</v>
      </c>
      <c r="F290" s="38">
        <v>19.027999999999999</v>
      </c>
      <c r="G290" s="38">
        <v>19.117000000000001</v>
      </c>
      <c r="H290" s="38">
        <f>G290-F290</f>
        <v>8.9000000000002188E-2</v>
      </c>
      <c r="I290" s="16" t="s">
        <v>162</v>
      </c>
      <c r="J290" s="17" t="s">
        <v>169</v>
      </c>
      <c r="K290" s="38" t="s">
        <v>166</v>
      </c>
      <c r="L290" s="34" t="s">
        <v>167</v>
      </c>
      <c r="M290" s="38">
        <f>60*SUM(H290:H293)/B290</f>
        <v>0.54210028382214015</v>
      </c>
      <c r="N290" s="38">
        <f>100*SUM(H290:H293)/K293</f>
        <v>1.0883968180913919</v>
      </c>
      <c r="O290" s="17">
        <f>1000*SUM(H290:H293)/K293</f>
        <v>10.88396818091392</v>
      </c>
      <c r="P290" s="16"/>
      <c r="Q290" s="86">
        <f>SUM(P290:P293)*2/K293</f>
        <v>2.2275095088582379E-2</v>
      </c>
      <c r="R290" s="18"/>
      <c r="S290" s="452"/>
      <c r="T290" s="18">
        <f>SUM(S290:S293)*2/K293</f>
        <v>1.9967237961215824E-2</v>
      </c>
      <c r="U290" s="451">
        <f>(Q290-T290)/T290</f>
        <v>0.11558219178082191</v>
      </c>
    </row>
    <row r="291" spans="1:21" x14ac:dyDescent="0.25">
      <c r="A291" s="53"/>
      <c r="B291" s="40"/>
      <c r="C291" s="17" t="s">
        <v>65</v>
      </c>
      <c r="D291" s="40">
        <v>304</v>
      </c>
      <c r="E291" s="17" t="s">
        <v>23</v>
      </c>
      <c r="F291" s="38">
        <v>18.427</v>
      </c>
      <c r="G291" s="38">
        <v>18.529</v>
      </c>
      <c r="H291" s="17">
        <f>G291-F291</f>
        <v>0.10200000000000031</v>
      </c>
      <c r="I291" s="16">
        <f>8-2*0.4/2.54</f>
        <v>7.6850393700787398</v>
      </c>
      <c r="J291" s="17">
        <f>8+5/12</f>
        <v>8.4166666666666661</v>
      </c>
      <c r="K291" s="38">
        <v>0.17271910112359601</v>
      </c>
      <c r="L291" s="34">
        <f>I291*3.14159*J291</f>
        <v>203.20562719160102</v>
      </c>
      <c r="M291" s="38"/>
      <c r="N291" s="38"/>
      <c r="O291" s="17"/>
      <c r="P291" s="16">
        <v>0.1938</v>
      </c>
      <c r="Q291" s="17"/>
      <c r="R291" s="18"/>
      <c r="S291" s="450">
        <v>0.1744</v>
      </c>
      <c r="T291" s="18"/>
      <c r="U291" s="126"/>
    </row>
    <row r="292" spans="1:21" x14ac:dyDescent="0.25">
      <c r="A292" s="53"/>
      <c r="B292" s="40"/>
      <c r="C292" s="17" t="s">
        <v>231</v>
      </c>
      <c r="D292" s="40"/>
      <c r="E292" s="17" t="s">
        <v>26</v>
      </c>
      <c r="F292" s="38">
        <v>20.294</v>
      </c>
      <c r="G292" s="38">
        <v>20.407</v>
      </c>
      <c r="H292" s="17">
        <f>G292-F292</f>
        <v>0.11299999999999955</v>
      </c>
      <c r="I292" s="39"/>
      <c r="J292" s="17"/>
      <c r="K292" s="98"/>
      <c r="L292" s="34"/>
      <c r="M292" s="38"/>
      <c r="N292" s="38"/>
      <c r="O292" s="17"/>
      <c r="P292" s="16">
        <v>0.1971</v>
      </c>
      <c r="Q292" s="17"/>
      <c r="R292" s="18"/>
      <c r="S292" s="450">
        <v>0.17599999999999999</v>
      </c>
      <c r="T292" s="18"/>
      <c r="U292" s="126"/>
    </row>
    <row r="293" spans="1:21" x14ac:dyDescent="0.25">
      <c r="A293" s="53"/>
      <c r="B293" s="40"/>
      <c r="C293" s="17"/>
      <c r="D293" s="40"/>
      <c r="E293" s="17" t="s">
        <v>25</v>
      </c>
      <c r="F293" s="38">
        <v>19.062000000000001</v>
      </c>
      <c r="G293" s="38">
        <v>19.14</v>
      </c>
      <c r="H293" s="17">
        <f>G293-F293</f>
        <v>7.7999999999999403E-2</v>
      </c>
      <c r="I293" s="461" t="s">
        <v>18</v>
      </c>
      <c r="J293" s="256"/>
      <c r="K293" s="38">
        <f>L291*K291</f>
        <v>35.097493271789887</v>
      </c>
      <c r="L293" s="34" t="s">
        <v>163</v>
      </c>
      <c r="M293" s="38"/>
      <c r="N293" s="38"/>
      <c r="O293" s="17"/>
      <c r="P293" s="16"/>
      <c r="Q293" s="17"/>
      <c r="R293" s="18"/>
      <c r="S293" s="452"/>
      <c r="T293" s="18"/>
      <c r="U293" s="126"/>
    </row>
    <row r="294" spans="1:21" x14ac:dyDescent="0.25">
      <c r="A294" s="53"/>
      <c r="B294" s="40"/>
      <c r="C294" s="17"/>
      <c r="D294" s="40"/>
      <c r="E294" s="17"/>
      <c r="F294" s="38"/>
      <c r="G294" s="38"/>
      <c r="H294" s="17"/>
      <c r="I294" s="39"/>
      <c r="J294" s="17"/>
      <c r="K294" s="38"/>
      <c r="L294" s="34">
        <f>60*L291/B290</f>
        <v>288.37127794456154</v>
      </c>
      <c r="M294" s="38"/>
      <c r="N294" s="38"/>
      <c r="O294" s="17"/>
      <c r="P294" s="16"/>
      <c r="Q294" s="17"/>
      <c r="R294" s="18"/>
      <c r="S294" s="452"/>
      <c r="T294" s="18"/>
      <c r="U294" s="126"/>
    </row>
    <row r="295" spans="1:21" x14ac:dyDescent="0.25">
      <c r="A295" s="49">
        <v>66</v>
      </c>
      <c r="B295" s="36">
        <v>68.31</v>
      </c>
      <c r="C295" s="14" t="s">
        <v>66</v>
      </c>
      <c r="D295" s="36" t="s">
        <v>61</v>
      </c>
      <c r="E295" s="14" t="s">
        <v>24</v>
      </c>
      <c r="F295" s="28">
        <v>19.794</v>
      </c>
      <c r="G295" s="28">
        <v>19.837</v>
      </c>
      <c r="H295" s="14">
        <f>G295-F295</f>
        <v>4.2999999999999261E-2</v>
      </c>
      <c r="I295" s="13" t="s">
        <v>162</v>
      </c>
      <c r="J295" s="14" t="s">
        <v>169</v>
      </c>
      <c r="K295" s="28" t="s">
        <v>166</v>
      </c>
      <c r="L295" s="32" t="s">
        <v>167</v>
      </c>
      <c r="M295" s="28">
        <f>60*SUM(H295:H298)/B295</f>
        <v>0.16337285902503601</v>
      </c>
      <c r="N295" s="28">
        <f>100*SUM(H295:H298)/K298</f>
        <v>0.34109285557750402</v>
      </c>
      <c r="O295" s="14">
        <f>1000*SUM(H295:H298)/K298</f>
        <v>3.4109285557750404</v>
      </c>
      <c r="P295" s="13"/>
      <c r="Q295" s="85">
        <f>SUM(P295:P298)*2/K298</f>
        <v>1.0812276755295301E-2</v>
      </c>
      <c r="R295" s="15"/>
      <c r="S295" s="20"/>
      <c r="T295" s="15">
        <f>SUM(S295:S298)*2/K298</f>
        <v>9.3085340586633227E-3</v>
      </c>
      <c r="U295" s="436">
        <f>(Q295-T295)/T295</f>
        <v>0.16154452324665086</v>
      </c>
    </row>
    <row r="296" spans="1:21" x14ac:dyDescent="0.25">
      <c r="A296" s="49"/>
      <c r="B296" s="36"/>
      <c r="C296" s="14" t="s">
        <v>67</v>
      </c>
      <c r="D296" s="36">
        <v>304</v>
      </c>
      <c r="E296" s="14" t="s">
        <v>23</v>
      </c>
      <c r="F296" s="28">
        <v>20.555</v>
      </c>
      <c r="G296" s="28">
        <v>20.606000000000002</v>
      </c>
      <c r="H296" s="14">
        <f>G296-F296</f>
        <v>5.1000000000001933E-2</v>
      </c>
      <c r="I296" s="152">
        <f>7+29/32-2*1.2</f>
        <v>5.5062499999999996</v>
      </c>
      <c r="J296" s="14">
        <f>25+4/12</f>
        <v>25.333333333333332</v>
      </c>
      <c r="K296" s="28">
        <v>0.124435</v>
      </c>
      <c r="L296" s="32">
        <f>I296*3.14159*J296</f>
        <v>438.22562508333328</v>
      </c>
      <c r="M296" s="28"/>
      <c r="N296" s="28"/>
      <c r="O296" s="14"/>
      <c r="P296" s="13">
        <v>0.1479</v>
      </c>
      <c r="Q296" s="14"/>
      <c r="R296" s="15"/>
      <c r="S296" s="435">
        <v>0.1278</v>
      </c>
      <c r="T296" s="15"/>
      <c r="U296" s="127"/>
    </row>
    <row r="297" spans="1:21" x14ac:dyDescent="0.25">
      <c r="A297" s="49"/>
      <c r="B297" s="36"/>
      <c r="C297" s="14" t="s">
        <v>230</v>
      </c>
      <c r="D297" s="36"/>
      <c r="E297" s="14" t="s">
        <v>26</v>
      </c>
      <c r="F297" s="28">
        <v>18.585999999999999</v>
      </c>
      <c r="G297" s="28">
        <v>18.626000000000001</v>
      </c>
      <c r="H297" s="14">
        <f>G297-F297</f>
        <v>4.00000000000027E-2</v>
      </c>
      <c r="I297" s="20"/>
      <c r="J297" s="15"/>
      <c r="K297" s="102"/>
      <c r="L297" s="32"/>
      <c r="M297" s="28"/>
      <c r="N297" s="28"/>
      <c r="O297" s="14"/>
      <c r="P297" s="13"/>
      <c r="Q297" s="14"/>
      <c r="R297" s="15"/>
      <c r="S297" s="20"/>
      <c r="T297" s="15"/>
      <c r="U297" s="127"/>
    </row>
    <row r="298" spans="1:21" x14ac:dyDescent="0.25">
      <c r="A298" s="49"/>
      <c r="B298" s="36"/>
      <c r="C298" s="14"/>
      <c r="D298" s="36"/>
      <c r="E298" s="14" t="s">
        <v>25</v>
      </c>
      <c r="F298" s="28">
        <v>20.475000000000001</v>
      </c>
      <c r="G298" s="28">
        <v>20.527000000000001</v>
      </c>
      <c r="H298" s="14">
        <f>G298-F298</f>
        <v>5.1999999999999602E-2</v>
      </c>
      <c r="I298" s="459" t="s">
        <v>18</v>
      </c>
      <c r="J298" s="460"/>
      <c r="K298" s="28">
        <f>L296*K296</f>
        <v>54.530605657244578</v>
      </c>
      <c r="L298" s="32" t="s">
        <v>163</v>
      </c>
      <c r="M298" s="28"/>
      <c r="N298" s="28"/>
      <c r="O298" s="14"/>
      <c r="P298" s="13">
        <v>0.1469</v>
      </c>
      <c r="Q298" s="14"/>
      <c r="R298" s="15"/>
      <c r="S298" s="435">
        <v>0.126</v>
      </c>
      <c r="T298" s="15"/>
      <c r="U298" s="127"/>
    </row>
    <row r="299" spans="1:21" x14ac:dyDescent="0.25">
      <c r="A299" s="49"/>
      <c r="B299" s="36"/>
      <c r="C299" s="14"/>
      <c r="D299" s="36"/>
      <c r="E299" s="14"/>
      <c r="F299" s="28"/>
      <c r="G299" s="28"/>
      <c r="H299" s="14"/>
      <c r="I299" s="13"/>
      <c r="J299" s="14"/>
      <c r="K299" s="28"/>
      <c r="L299" s="32">
        <f>60*L296/B295</f>
        <v>384.91491004245347</v>
      </c>
      <c r="M299" s="28"/>
      <c r="N299" s="28"/>
      <c r="O299" s="14"/>
      <c r="P299" s="13"/>
      <c r="Q299" s="14"/>
      <c r="R299" s="15"/>
      <c r="S299" s="20"/>
      <c r="T299" s="15"/>
      <c r="U299" s="127"/>
    </row>
    <row r="300" spans="1:21" x14ac:dyDescent="0.25">
      <c r="A300" s="48">
        <v>67</v>
      </c>
      <c r="B300" s="40">
        <v>69.5</v>
      </c>
      <c r="C300" s="17" t="s">
        <v>66</v>
      </c>
      <c r="D300" s="40" t="s">
        <v>61</v>
      </c>
      <c r="E300" s="17" t="s">
        <v>24</v>
      </c>
      <c r="F300" s="38">
        <v>20.042000000000002</v>
      </c>
      <c r="G300" s="38">
        <v>20.137</v>
      </c>
      <c r="H300" s="38">
        <f>G300-F300</f>
        <v>9.4999999999998863E-2</v>
      </c>
      <c r="I300" s="16" t="s">
        <v>162</v>
      </c>
      <c r="J300" s="17" t="s">
        <v>169</v>
      </c>
      <c r="K300" s="38" t="s">
        <v>166</v>
      </c>
      <c r="L300" s="34" t="s">
        <v>167</v>
      </c>
      <c r="M300" s="38">
        <f>60*SUM(H300:H303)/B300</f>
        <v>0.31769784172661436</v>
      </c>
      <c r="N300" s="38">
        <f>100*SUM(H300:H303)/K303</f>
        <v>0.67596216079724525</v>
      </c>
      <c r="O300" s="17">
        <f>1000*SUM(H300:H303)/K303</f>
        <v>6.759621607972452</v>
      </c>
      <c r="P300" s="11">
        <v>0.17960000000000001</v>
      </c>
      <c r="Q300" s="86">
        <f>SUM(P300:P303)*2/K303</f>
        <v>1.3026966424929698E-2</v>
      </c>
      <c r="R300" s="12"/>
      <c r="S300" s="287">
        <v>0.16170000000000001</v>
      </c>
      <c r="T300" s="18">
        <f>SUM(S300:S303)*2/K303</f>
        <v>1.1840358936138865E-2</v>
      </c>
      <c r="U300" s="284">
        <f>(Q300-T300)/T300</f>
        <v>0.1002171889543904</v>
      </c>
    </row>
    <row r="301" spans="1:21" x14ac:dyDescent="0.25">
      <c r="A301" s="48"/>
      <c r="B301" s="40"/>
      <c r="C301" s="17" t="s">
        <v>67</v>
      </c>
      <c r="D301" s="40">
        <v>304</v>
      </c>
      <c r="E301" s="17" t="s">
        <v>23</v>
      </c>
      <c r="F301" s="38">
        <v>23.832000000000001</v>
      </c>
      <c r="G301" s="38">
        <v>23.954999999999998</v>
      </c>
      <c r="H301" s="17">
        <f>G301-F301</f>
        <v>0.12299999999999756</v>
      </c>
      <c r="I301" s="115">
        <f>7+29/32-2*1.2</f>
        <v>5.5062499999999996</v>
      </c>
      <c r="J301" s="17">
        <f>25+3.5/12</f>
        <v>25.291666666666668</v>
      </c>
      <c r="K301" s="249">
        <v>0.124435</v>
      </c>
      <c r="L301" s="34">
        <f>I301*3.14159*J301</f>
        <v>437.50485925260415</v>
      </c>
      <c r="M301" s="38"/>
      <c r="N301" s="38"/>
      <c r="O301" s="17"/>
      <c r="P301" s="16"/>
      <c r="Q301" s="17"/>
      <c r="R301" s="12"/>
      <c r="S301" s="21"/>
      <c r="T301" s="18"/>
      <c r="U301" s="133"/>
    </row>
    <row r="302" spans="1:21" x14ac:dyDescent="0.25">
      <c r="A302" s="48"/>
      <c r="B302" s="40"/>
      <c r="C302" s="17" t="s">
        <v>230</v>
      </c>
      <c r="D302" s="40"/>
      <c r="E302" s="17" t="s">
        <v>26</v>
      </c>
      <c r="F302" s="38">
        <v>21.512</v>
      </c>
      <c r="G302" s="38">
        <v>21.587</v>
      </c>
      <c r="H302" s="17">
        <f>G302-F302</f>
        <v>7.4999999999999289E-2</v>
      </c>
      <c r="I302" s="39"/>
      <c r="J302" s="17"/>
      <c r="K302" s="98"/>
      <c r="L302" s="34"/>
      <c r="M302" s="38"/>
      <c r="N302" s="38"/>
      <c r="O302" s="17"/>
      <c r="P302" s="16"/>
      <c r="Q302" s="17"/>
      <c r="R302" s="12"/>
      <c r="S302" s="21"/>
      <c r="T302" s="18"/>
      <c r="U302" s="133"/>
    </row>
    <row r="303" spans="1:21" x14ac:dyDescent="0.25">
      <c r="A303" s="48"/>
      <c r="B303" s="40"/>
      <c r="C303" s="17"/>
      <c r="D303" s="40"/>
      <c r="E303" s="17" t="s">
        <v>25</v>
      </c>
      <c r="F303" s="38">
        <v>21.603999999999999</v>
      </c>
      <c r="G303" s="38">
        <v>21.678999999999998</v>
      </c>
      <c r="H303" s="17">
        <f>G303-F303</f>
        <v>7.4999999999999289E-2</v>
      </c>
      <c r="I303" s="461" t="s">
        <v>18</v>
      </c>
      <c r="J303" s="256"/>
      <c r="K303" s="38">
        <f>L301*K301</f>
        <v>54.440917161097801</v>
      </c>
      <c r="L303" s="34" t="s">
        <v>163</v>
      </c>
      <c r="M303" s="38"/>
      <c r="N303" s="38"/>
      <c r="O303" s="17"/>
      <c r="P303" s="11">
        <v>0.17499999999999999</v>
      </c>
      <c r="Q303" s="17"/>
      <c r="R303" s="12"/>
      <c r="S303" s="287">
        <v>0.16059999999999999</v>
      </c>
      <c r="T303" s="18"/>
      <c r="U303" s="133"/>
    </row>
    <row r="304" spans="1:21" x14ac:dyDescent="0.25">
      <c r="A304" s="48"/>
      <c r="B304" s="40"/>
      <c r="C304" s="17"/>
      <c r="D304" s="40"/>
      <c r="E304" s="17"/>
      <c r="F304" s="38"/>
      <c r="G304" s="38"/>
      <c r="H304" s="17"/>
      <c r="I304" s="39"/>
      <c r="J304" s="17"/>
      <c r="K304" s="38"/>
      <c r="L304" s="34">
        <f>60*L301/B300</f>
        <v>377.70203676483811</v>
      </c>
      <c r="M304" s="38"/>
      <c r="N304" s="38"/>
      <c r="O304" s="17"/>
      <c r="P304" s="16"/>
      <c r="Q304" s="17"/>
      <c r="R304" s="12"/>
      <c r="S304" s="21"/>
      <c r="T304" s="18"/>
      <c r="U304" s="133"/>
    </row>
    <row r="305" spans="1:21" x14ac:dyDescent="0.25">
      <c r="A305" s="49">
        <v>68</v>
      </c>
      <c r="B305" s="36">
        <v>40.22</v>
      </c>
      <c r="C305" s="14" t="s">
        <v>66</v>
      </c>
      <c r="D305" s="36" t="s">
        <v>61</v>
      </c>
      <c r="E305" s="14" t="s">
        <v>24</v>
      </c>
      <c r="F305" s="28">
        <v>14.77</v>
      </c>
      <c r="G305" s="28">
        <v>14.839</v>
      </c>
      <c r="H305" s="14">
        <f>G305-F305</f>
        <v>6.9000000000000838E-2</v>
      </c>
      <c r="I305" s="13" t="s">
        <v>162</v>
      </c>
      <c r="J305" s="14" t="s">
        <v>169</v>
      </c>
      <c r="K305" s="28" t="s">
        <v>166</v>
      </c>
      <c r="L305" s="32" t="s">
        <v>167</v>
      </c>
      <c r="M305" s="28">
        <f>60*SUM(H305:H308)/B305</f>
        <v>0.38786673296867463</v>
      </c>
      <c r="N305" s="28">
        <f>100*SUM(H305:H308)/K308</f>
        <v>0.76488720472226224</v>
      </c>
      <c r="O305" s="14">
        <f>1000*SUM(H305:H308)/K308</f>
        <v>7.648872047222623</v>
      </c>
      <c r="P305" s="13">
        <v>0.15759999999999999</v>
      </c>
      <c r="Q305" s="85">
        <f>SUM(P305:P308)*2/K308</f>
        <v>1.8574991579293595E-2</v>
      </c>
      <c r="R305" s="15"/>
      <c r="S305" s="435">
        <v>0.12720000000000001</v>
      </c>
      <c r="T305" s="15">
        <f>SUM(S305:S308)*2/K308</f>
        <v>1.4503438151079731E-2</v>
      </c>
      <c r="U305" s="436">
        <f>(Q305-T305)/T305</f>
        <v>0.2807302231237323</v>
      </c>
    </row>
    <row r="306" spans="1:21" x14ac:dyDescent="0.25">
      <c r="A306" s="49"/>
      <c r="B306" s="36"/>
      <c r="C306" s="14" t="s">
        <v>67</v>
      </c>
      <c r="D306" s="36">
        <v>304</v>
      </c>
      <c r="E306" s="14" t="s">
        <v>23</v>
      </c>
      <c r="F306" s="28">
        <v>15.366</v>
      </c>
      <c r="G306" s="28">
        <v>15.429</v>
      </c>
      <c r="H306" s="14">
        <f>G306-F306</f>
        <v>6.3000000000000611E-2</v>
      </c>
      <c r="I306" s="152">
        <f>7+29/32-2*1.2</f>
        <v>5.5062499999999996</v>
      </c>
      <c r="J306" s="14">
        <f>15+9.5/12</f>
        <v>15.791666666666666</v>
      </c>
      <c r="K306" s="28">
        <v>0.124435</v>
      </c>
      <c r="L306" s="32">
        <f>I306*3.14159*J306</f>
        <v>273.17024984635412</v>
      </c>
      <c r="M306" s="28"/>
      <c r="N306" s="28"/>
      <c r="O306" s="14"/>
      <c r="P306" s="13"/>
      <c r="Q306" s="14"/>
      <c r="R306" s="15"/>
      <c r="S306" s="20"/>
      <c r="T306" s="15"/>
      <c r="U306" s="127"/>
    </row>
    <row r="307" spans="1:21" x14ac:dyDescent="0.25">
      <c r="A307" s="49"/>
      <c r="B307" s="36"/>
      <c r="C307" s="14" t="s">
        <v>230</v>
      </c>
      <c r="D307" s="36"/>
      <c r="E307" s="14" t="s">
        <v>26</v>
      </c>
      <c r="F307" s="28">
        <v>15.891999999999999</v>
      </c>
      <c r="G307" s="28">
        <v>15.948</v>
      </c>
      <c r="H307" s="14">
        <f>G307-F307</f>
        <v>5.6000000000000938E-2</v>
      </c>
      <c r="I307" s="20"/>
      <c r="J307" s="15"/>
      <c r="K307" s="102"/>
      <c r="L307" s="32"/>
      <c r="M307" s="28"/>
      <c r="N307" s="28"/>
      <c r="O307" s="14"/>
      <c r="P307" s="13"/>
      <c r="Q307" s="14"/>
      <c r="R307" s="15"/>
      <c r="S307" s="20"/>
      <c r="T307" s="15"/>
      <c r="U307" s="127"/>
    </row>
    <row r="308" spans="1:21" x14ac:dyDescent="0.25">
      <c r="A308" s="49"/>
      <c r="B308" s="36"/>
      <c r="C308" s="14"/>
      <c r="D308" s="36"/>
      <c r="E308" s="14" t="s">
        <v>25</v>
      </c>
      <c r="F308" s="28">
        <v>14.178000000000001</v>
      </c>
      <c r="G308" s="28">
        <v>14.25</v>
      </c>
      <c r="H308" s="14">
        <f>G308-F308</f>
        <v>7.1999999999999176E-2</v>
      </c>
      <c r="I308" s="459" t="s">
        <v>18</v>
      </c>
      <c r="J308" s="460"/>
      <c r="K308" s="28">
        <f>L306*K306</f>
        <v>33.991940039631075</v>
      </c>
      <c r="L308" s="32" t="s">
        <v>163</v>
      </c>
      <c r="M308" s="28"/>
      <c r="N308" s="28"/>
      <c r="O308" s="14"/>
      <c r="P308" s="13">
        <v>0.15809999999999999</v>
      </c>
      <c r="Q308" s="14"/>
      <c r="R308" s="15"/>
      <c r="S308" s="435">
        <v>0.1193</v>
      </c>
      <c r="T308" s="15"/>
      <c r="U308" s="127"/>
    </row>
    <row r="309" spans="1:21" x14ac:dyDescent="0.25">
      <c r="A309" s="49"/>
      <c r="B309" s="36"/>
      <c r="C309" s="14"/>
      <c r="D309" s="36"/>
      <c r="E309" s="14"/>
      <c r="F309" s="28"/>
      <c r="G309" s="28"/>
      <c r="H309" s="14"/>
      <c r="I309" s="13"/>
      <c r="J309" s="14"/>
      <c r="K309" s="28"/>
      <c r="L309" s="32">
        <f>60*L306/B305</f>
        <v>407.51404750823593</v>
      </c>
      <c r="M309" s="28"/>
      <c r="N309" s="28"/>
      <c r="O309" s="14"/>
      <c r="P309" s="13"/>
      <c r="Q309" s="14"/>
      <c r="R309" s="15"/>
      <c r="S309" s="20"/>
      <c r="T309" s="15"/>
      <c r="U309" s="127"/>
    </row>
    <row r="310" spans="1:21" x14ac:dyDescent="0.25">
      <c r="A310" s="48">
        <v>69</v>
      </c>
      <c r="B310" s="40">
        <v>60.4</v>
      </c>
      <c r="C310" s="17" t="s">
        <v>66</v>
      </c>
      <c r="D310" s="40" t="s">
        <v>61</v>
      </c>
      <c r="E310" s="17" t="s">
        <v>24</v>
      </c>
      <c r="F310" s="38">
        <v>22.503</v>
      </c>
      <c r="G310" s="38">
        <v>22.574000000000002</v>
      </c>
      <c r="H310" s="17">
        <f>G310-F310</f>
        <v>7.1000000000001506E-2</v>
      </c>
      <c r="I310" s="16" t="s">
        <v>162</v>
      </c>
      <c r="J310" s="17" t="s">
        <v>169</v>
      </c>
      <c r="K310" s="38" t="s">
        <v>166</v>
      </c>
      <c r="L310" s="34" t="s">
        <v>167</v>
      </c>
      <c r="M310" s="38">
        <f>60*SUM(H310:H313)/B310</f>
        <v>0.26920529801324583</v>
      </c>
      <c r="N310" s="38">
        <f>100*SUM(H310:H313)/K313</f>
        <v>0.53956593344655623</v>
      </c>
      <c r="O310" s="17">
        <f>1000*SUM(H310:H313)/K313</f>
        <v>5.3956593344655621</v>
      </c>
      <c r="P310" s="16"/>
      <c r="Q310" s="86">
        <f>SUM(P310:P313)*2/K313</f>
        <v>1.2423953596702956E-2</v>
      </c>
      <c r="R310" s="12"/>
      <c r="S310" s="21"/>
      <c r="T310" s="18">
        <f>SUM(S310:S313)*2/K313</f>
        <v>1.0150210807049947E-2</v>
      </c>
      <c r="U310" s="284">
        <f>(Q310-T310)/T310</f>
        <v>0.22400941545704192</v>
      </c>
    </row>
    <row r="311" spans="1:21" x14ac:dyDescent="0.25">
      <c r="A311" s="48"/>
      <c r="B311" s="40"/>
      <c r="C311" s="17" t="s">
        <v>67</v>
      </c>
      <c r="D311" s="40">
        <v>304</v>
      </c>
      <c r="E311" s="17" t="s">
        <v>23</v>
      </c>
      <c r="F311" s="38">
        <v>16.138999999999999</v>
      </c>
      <c r="G311" s="38">
        <v>16.207000000000001</v>
      </c>
      <c r="H311" s="17">
        <f>G311-F311</f>
        <v>6.8000000000001393E-2</v>
      </c>
      <c r="I311" s="115">
        <f>7+29/32-2*1.2</f>
        <v>5.5062499999999996</v>
      </c>
      <c r="J311" s="17">
        <f>23+4/12</f>
        <v>23.333333333333332</v>
      </c>
      <c r="K311" s="249">
        <v>0.124435</v>
      </c>
      <c r="L311" s="34">
        <f>I311*3.14159*J311</f>
        <v>403.62886520833325</v>
      </c>
      <c r="M311" s="38"/>
      <c r="N311" s="38"/>
      <c r="O311" s="17"/>
      <c r="P311" s="11">
        <v>0.1573</v>
      </c>
      <c r="Q311" s="18"/>
      <c r="R311" s="12"/>
      <c r="S311" s="287">
        <v>0.1268</v>
      </c>
      <c r="T311" s="12"/>
      <c r="U311" s="133"/>
    </row>
    <row r="312" spans="1:21" x14ac:dyDescent="0.25">
      <c r="A312" s="48"/>
      <c r="B312" s="40"/>
      <c r="C312" s="17" t="s">
        <v>230</v>
      </c>
      <c r="D312" s="40"/>
      <c r="E312" s="17" t="s">
        <v>26</v>
      </c>
      <c r="F312" s="38">
        <v>16.03</v>
      </c>
      <c r="G312" s="38">
        <v>16.106999999999999</v>
      </c>
      <c r="H312" s="17">
        <f>G312-F312</f>
        <v>7.6999999999998181E-2</v>
      </c>
      <c r="I312" s="39"/>
      <c r="J312" s="17"/>
      <c r="K312" s="98"/>
      <c r="L312" s="34"/>
      <c r="M312" s="38"/>
      <c r="N312" s="38"/>
      <c r="O312" s="17"/>
      <c r="P312" s="11">
        <v>0.1547</v>
      </c>
      <c r="Q312" s="18"/>
      <c r="R312" s="12"/>
      <c r="S312" s="287">
        <v>0.12809999999999999</v>
      </c>
      <c r="T312" s="12"/>
      <c r="U312" s="133"/>
    </row>
    <row r="313" spans="1:21" x14ac:dyDescent="0.25">
      <c r="A313" s="48"/>
      <c r="B313" s="40"/>
      <c r="C313" s="17"/>
      <c r="D313" s="40"/>
      <c r="E313" s="17" t="s">
        <v>25</v>
      </c>
      <c r="F313" s="38">
        <v>21.603999999999999</v>
      </c>
      <c r="G313" s="38">
        <v>21.658999999999999</v>
      </c>
      <c r="H313" s="17">
        <f>G313-F313</f>
        <v>5.4999999999999716E-2</v>
      </c>
      <c r="I313" s="461" t="s">
        <v>18</v>
      </c>
      <c r="J313" s="256"/>
      <c r="K313" s="38">
        <f>L311*K311</f>
        <v>50.225557842198953</v>
      </c>
      <c r="L313" s="34" t="s">
        <v>163</v>
      </c>
      <c r="M313" s="38"/>
      <c r="N313" s="38"/>
      <c r="O313" s="17"/>
      <c r="P313" s="16"/>
      <c r="Q313" s="18"/>
      <c r="R313" s="12"/>
      <c r="S313" s="21"/>
      <c r="T313" s="12"/>
      <c r="U313" s="133"/>
    </row>
    <row r="314" spans="1:21" ht="13.8" thickBot="1" x14ac:dyDescent="0.3">
      <c r="A314" s="107"/>
      <c r="B314" s="55"/>
      <c r="C314" s="58"/>
      <c r="D314" s="55"/>
      <c r="E314" s="58"/>
      <c r="F314" s="60"/>
      <c r="G314" s="60"/>
      <c r="H314" s="58"/>
      <c r="I314" s="130"/>
      <c r="J314" s="58"/>
      <c r="K314" s="60"/>
      <c r="L314" s="61">
        <f>60*L311/B310</f>
        <v>400.95582636589398</v>
      </c>
      <c r="M314" s="60"/>
      <c r="N314" s="60"/>
      <c r="O314" s="58"/>
      <c r="P314" s="57"/>
      <c r="Q314" s="128"/>
      <c r="R314" s="89"/>
      <c r="S314" s="155"/>
      <c r="T314" s="89"/>
      <c r="U314" s="136"/>
    </row>
    <row r="315" spans="1:21" x14ac:dyDescent="0.25">
      <c r="A315" s="1"/>
      <c r="B315" s="17"/>
      <c r="C315" s="17"/>
      <c r="D315" s="17"/>
      <c r="E315" s="17"/>
      <c r="F315" s="38"/>
      <c r="G315" s="38"/>
      <c r="H315" s="17"/>
      <c r="I315" s="100"/>
      <c r="J315" s="17"/>
      <c r="K315" s="38"/>
      <c r="L315" s="42"/>
      <c r="M315" s="38"/>
      <c r="N315" s="38"/>
      <c r="O315" s="17"/>
    </row>
    <row r="316" spans="1:21" x14ac:dyDescent="0.25">
      <c r="A316" s="1"/>
      <c r="B316" s="17"/>
      <c r="C316" s="17"/>
      <c r="D316" s="17"/>
      <c r="E316" s="17"/>
      <c r="F316" s="38"/>
      <c r="G316" s="38"/>
      <c r="H316" s="17"/>
      <c r="I316" s="100"/>
      <c r="J316" s="17"/>
      <c r="K316" s="38"/>
      <c r="L316" s="42"/>
      <c r="M316" s="38"/>
      <c r="N316" s="38"/>
      <c r="O316" s="17"/>
    </row>
    <row r="317" spans="1:21" x14ac:dyDescent="0.25">
      <c r="A317" s="1"/>
      <c r="B317" s="17"/>
      <c r="C317" s="17"/>
      <c r="D317" s="17"/>
      <c r="E317" s="17"/>
      <c r="F317" s="38"/>
      <c r="G317" s="38"/>
      <c r="H317" s="17"/>
      <c r="I317" s="100"/>
      <c r="J317" s="17"/>
      <c r="K317" s="38"/>
      <c r="L317" s="42"/>
      <c r="M317" s="38"/>
      <c r="N317" s="38"/>
      <c r="O317" s="17"/>
    </row>
    <row r="318" spans="1:21" x14ac:dyDescent="0.25">
      <c r="A318" s="1"/>
      <c r="B318" s="17"/>
      <c r="C318" s="17"/>
      <c r="D318" s="17"/>
      <c r="E318" s="17"/>
      <c r="F318" s="38"/>
      <c r="G318" s="38"/>
      <c r="H318" s="17"/>
      <c r="I318" s="100"/>
      <c r="J318" s="17"/>
      <c r="K318" s="38"/>
      <c r="L318" s="42"/>
      <c r="M318" s="38"/>
      <c r="N318" s="38"/>
      <c r="O318" s="17"/>
    </row>
    <row r="319" spans="1:21" x14ac:dyDescent="0.25">
      <c r="A319" s="1"/>
      <c r="B319" s="17"/>
      <c r="C319" s="17"/>
      <c r="D319" s="17"/>
      <c r="E319" s="17"/>
      <c r="F319" s="38"/>
      <c r="G319" s="38"/>
      <c r="H319" s="17"/>
      <c r="I319" s="100"/>
      <c r="J319" s="17"/>
      <c r="K319" s="38"/>
      <c r="L319" s="42"/>
      <c r="M319" s="38"/>
      <c r="N319" s="38"/>
      <c r="O319" s="17"/>
    </row>
    <row r="320" spans="1:21" x14ac:dyDescent="0.25">
      <c r="A320" s="1"/>
      <c r="B320" s="17"/>
      <c r="C320" s="17"/>
      <c r="D320" s="17"/>
      <c r="E320" s="17"/>
      <c r="F320" s="38"/>
      <c r="G320" s="38"/>
      <c r="H320" s="17"/>
      <c r="I320" s="100"/>
      <c r="J320" s="17"/>
      <c r="K320" s="38"/>
      <c r="L320" s="42"/>
      <c r="M320" s="38"/>
      <c r="N320" s="38"/>
      <c r="O320" s="17"/>
    </row>
    <row r="321" spans="1:21" ht="15.6" x14ac:dyDescent="0.3">
      <c r="A321" s="71" t="s">
        <v>242</v>
      </c>
      <c r="B321" s="17"/>
      <c r="C321" s="17"/>
      <c r="D321" s="17"/>
      <c r="E321" s="17"/>
      <c r="F321" s="38"/>
      <c r="G321" s="38"/>
      <c r="H321" s="17"/>
      <c r="I321" s="100"/>
      <c r="J321" s="17"/>
      <c r="K321" s="38"/>
      <c r="L321" s="42"/>
      <c r="M321" s="38"/>
      <c r="N321" s="38"/>
      <c r="O321" s="17"/>
    </row>
    <row r="322" spans="1:21" ht="15.6" x14ac:dyDescent="0.3">
      <c r="A322" s="71"/>
      <c r="B322" s="17"/>
      <c r="C322" s="17"/>
      <c r="D322" s="17"/>
      <c r="E322" s="17"/>
      <c r="F322" s="38"/>
      <c r="G322" s="38"/>
      <c r="H322" s="17"/>
      <c r="I322" s="100"/>
      <c r="J322" s="17"/>
      <c r="K322" s="38"/>
      <c r="L322" s="42"/>
      <c r="M322" s="38"/>
      <c r="N322" s="38"/>
      <c r="O322" s="17"/>
      <c r="P322" s="17"/>
      <c r="Q322" s="18"/>
      <c r="R322" s="18"/>
    </row>
    <row r="323" spans="1:21" x14ac:dyDescent="0.25">
      <c r="A323" s="17"/>
      <c r="B323" s="17"/>
      <c r="C323" s="17"/>
      <c r="D323" s="17"/>
      <c r="E323" s="17"/>
      <c r="F323" s="38"/>
      <c r="G323" s="38"/>
      <c r="H323" s="17"/>
      <c r="I323" s="100"/>
      <c r="J323" s="17"/>
      <c r="K323" s="38"/>
      <c r="L323" s="42"/>
      <c r="M323" s="38"/>
      <c r="N323" s="38"/>
      <c r="O323" s="17"/>
      <c r="P323" s="17"/>
      <c r="Q323" s="18"/>
      <c r="R323" s="18"/>
    </row>
    <row r="324" spans="1:21" ht="13.8" thickBot="1" x14ac:dyDescent="0.3">
      <c r="A324" s="17"/>
      <c r="B324" s="17"/>
      <c r="C324" s="17"/>
      <c r="D324" s="17"/>
      <c r="E324" s="17"/>
      <c r="F324" s="38"/>
      <c r="G324" s="38"/>
      <c r="H324" s="17"/>
      <c r="I324" s="100"/>
      <c r="J324" s="17"/>
      <c r="K324" s="38"/>
      <c r="L324" s="42"/>
      <c r="M324" s="38"/>
      <c r="N324" s="38"/>
      <c r="O324" s="17"/>
      <c r="P324" s="17"/>
      <c r="Q324" s="18"/>
      <c r="R324" s="18"/>
    </row>
    <row r="325" spans="1:21" x14ac:dyDescent="0.25">
      <c r="A325" s="121" t="s">
        <v>21</v>
      </c>
      <c r="B325" s="80" t="s">
        <v>60</v>
      </c>
      <c r="C325" s="80" t="s">
        <v>14</v>
      </c>
      <c r="D325" s="122" t="s">
        <v>3</v>
      </c>
      <c r="E325" s="469" t="s">
        <v>13</v>
      </c>
      <c r="F325" s="469"/>
      <c r="G325" s="469"/>
      <c r="H325" s="469"/>
      <c r="I325" s="472" t="s">
        <v>168</v>
      </c>
      <c r="J325" s="469"/>
      <c r="K325" s="469"/>
      <c r="L325" s="473"/>
      <c r="M325" s="469" t="s">
        <v>30</v>
      </c>
      <c r="N325" s="469"/>
      <c r="O325" s="469"/>
      <c r="P325" s="470" t="s">
        <v>106</v>
      </c>
      <c r="Q325" s="471"/>
      <c r="R325" s="471"/>
      <c r="S325" s="470" t="s">
        <v>337</v>
      </c>
      <c r="T325" s="471"/>
      <c r="U325" s="480"/>
    </row>
    <row r="326" spans="1:21" x14ac:dyDescent="0.25">
      <c r="A326" s="124"/>
      <c r="B326" s="77"/>
      <c r="C326" s="77"/>
      <c r="D326" s="40"/>
      <c r="E326" s="99"/>
      <c r="F326" s="94" t="s">
        <v>10</v>
      </c>
      <c r="G326" s="94" t="s">
        <v>11</v>
      </c>
      <c r="H326" s="99" t="s">
        <v>12</v>
      </c>
      <c r="I326" s="77"/>
      <c r="J326" s="99"/>
      <c r="K326" s="94"/>
      <c r="L326" s="119"/>
      <c r="M326" s="94" t="s">
        <v>9</v>
      </c>
      <c r="N326" s="94" t="s">
        <v>15</v>
      </c>
      <c r="O326" s="99" t="s">
        <v>20</v>
      </c>
      <c r="P326" s="77" t="s">
        <v>52</v>
      </c>
      <c r="Q326" s="101" t="s">
        <v>55</v>
      </c>
      <c r="R326" s="99" t="s">
        <v>51</v>
      </c>
      <c r="S326" s="77" t="s">
        <v>52</v>
      </c>
      <c r="T326" s="101" t="s">
        <v>55</v>
      </c>
      <c r="U326" s="83" t="s">
        <v>328</v>
      </c>
    </row>
    <row r="327" spans="1:21" x14ac:dyDescent="0.25">
      <c r="A327" s="125"/>
      <c r="B327" s="91" t="s">
        <v>76</v>
      </c>
      <c r="C327" s="91"/>
      <c r="D327" s="117"/>
      <c r="E327" s="92"/>
      <c r="F327" s="95" t="s">
        <v>4</v>
      </c>
      <c r="G327" s="95" t="s">
        <v>4</v>
      </c>
      <c r="H327" s="92" t="s">
        <v>4</v>
      </c>
      <c r="I327" s="91"/>
      <c r="J327" s="92"/>
      <c r="K327" s="92"/>
      <c r="L327" s="120"/>
      <c r="M327" s="95" t="s">
        <v>1</v>
      </c>
      <c r="N327" s="95"/>
      <c r="O327" s="92"/>
      <c r="P327" s="16" t="s">
        <v>54</v>
      </c>
      <c r="Q327" s="72" t="s">
        <v>20</v>
      </c>
      <c r="R327" s="17" t="s">
        <v>20</v>
      </c>
      <c r="S327" s="16" t="s">
        <v>54</v>
      </c>
      <c r="T327" s="72" t="s">
        <v>20</v>
      </c>
      <c r="U327" s="113"/>
    </row>
    <row r="328" spans="1:21" x14ac:dyDescent="0.25">
      <c r="A328" s="48"/>
      <c r="B328" s="16"/>
      <c r="C328" s="16"/>
      <c r="D328" s="40"/>
      <c r="E328" s="17"/>
      <c r="F328" s="38"/>
      <c r="G328" s="38"/>
      <c r="H328" s="17"/>
      <c r="I328" s="39"/>
      <c r="J328" s="17"/>
      <c r="K328" s="38"/>
      <c r="L328" s="34"/>
      <c r="M328" s="38"/>
      <c r="N328" s="38"/>
      <c r="O328" s="17"/>
      <c r="P328" s="16"/>
      <c r="Q328" s="18"/>
      <c r="R328" s="12"/>
      <c r="S328" s="21"/>
      <c r="T328" s="12"/>
      <c r="U328" s="133"/>
    </row>
    <row r="329" spans="1:21" x14ac:dyDescent="0.25">
      <c r="A329" s="48"/>
      <c r="B329" s="16"/>
      <c r="C329" s="16"/>
      <c r="D329" s="40"/>
      <c r="E329" s="17"/>
      <c r="F329" s="38"/>
      <c r="G329" s="38"/>
      <c r="H329" s="17"/>
      <c r="I329" s="39"/>
      <c r="J329" s="17"/>
      <c r="K329" s="38"/>
      <c r="L329" s="34"/>
      <c r="M329" s="38"/>
      <c r="N329" s="38"/>
      <c r="O329" s="17"/>
      <c r="P329" s="16"/>
      <c r="Q329" s="18"/>
      <c r="R329" s="12"/>
      <c r="S329" s="21"/>
      <c r="T329" s="12"/>
      <c r="U329" s="133"/>
    </row>
    <row r="330" spans="1:21" x14ac:dyDescent="0.25">
      <c r="A330" s="49">
        <v>70</v>
      </c>
      <c r="B330" s="13">
        <v>34.200000000000003</v>
      </c>
      <c r="C330" s="13" t="s">
        <v>66</v>
      </c>
      <c r="D330" s="36" t="s">
        <v>61</v>
      </c>
      <c r="E330" s="14" t="s">
        <v>24</v>
      </c>
      <c r="F330" s="28">
        <v>21.753</v>
      </c>
      <c r="G330" s="28">
        <v>21.823</v>
      </c>
      <c r="H330" s="28">
        <f>G330-F330</f>
        <v>7.0000000000000284E-2</v>
      </c>
      <c r="I330" s="13" t="s">
        <v>162</v>
      </c>
      <c r="J330" s="14" t="s">
        <v>169</v>
      </c>
      <c r="K330" s="28" t="s">
        <v>166</v>
      </c>
      <c r="L330" s="32" t="s">
        <v>167</v>
      </c>
      <c r="M330" s="28">
        <f>60*SUM(H330:H333)/B330</f>
        <v>0.43157894736841868</v>
      </c>
      <c r="N330" s="28">
        <f>100*SUM(H330:H333)/K333</f>
        <v>0.86798312615718809</v>
      </c>
      <c r="O330" s="14">
        <f>1000*SUM(H330:H333)/K333</f>
        <v>8.6798312615718807</v>
      </c>
      <c r="P330" s="13"/>
      <c r="Q330" s="106">
        <f>SUM(P330:P333)*2/K333</f>
        <v>1.963194355259602E-2</v>
      </c>
      <c r="R330" s="15"/>
      <c r="S330" s="20"/>
      <c r="T330" s="14">
        <f>SUM(S330:S333)*2/K333</f>
        <v>1.1114418078842104E-2</v>
      </c>
      <c r="U330" s="436">
        <f>(Q330-T330)/T330</f>
        <v>0.76634920634920622</v>
      </c>
    </row>
    <row r="331" spans="1:21" x14ac:dyDescent="0.25">
      <c r="A331" s="49"/>
      <c r="B331" s="13"/>
      <c r="C331" s="13" t="s">
        <v>67</v>
      </c>
      <c r="D331" s="36">
        <v>304</v>
      </c>
      <c r="E331" s="14" t="s">
        <v>23</v>
      </c>
      <c r="F331" s="28">
        <v>15.268000000000001</v>
      </c>
      <c r="G331" s="28">
        <v>15.327</v>
      </c>
      <c r="H331" s="28">
        <f>G331-F331</f>
        <v>5.8999999999999275E-2</v>
      </c>
      <c r="I331" s="152">
        <f>7+29/32-2*1.2</f>
        <v>5.5062499999999996</v>
      </c>
      <c r="J331" s="14">
        <f>13+2/12</f>
        <v>13.166666666666666</v>
      </c>
      <c r="K331" s="28">
        <v>0.124435</v>
      </c>
      <c r="L331" s="32">
        <f>I331*3.14159*J331</f>
        <v>227.76200251041664</v>
      </c>
      <c r="M331" s="28"/>
      <c r="N331" s="28"/>
      <c r="O331" s="14"/>
      <c r="P331" s="13">
        <v>0.1361</v>
      </c>
      <c r="Q331" s="106"/>
      <c r="R331" s="15"/>
      <c r="S331" s="435">
        <v>7.7399999999999997E-2</v>
      </c>
      <c r="T331" s="15"/>
      <c r="U331" s="127"/>
    </row>
    <row r="332" spans="1:21" x14ac:dyDescent="0.25">
      <c r="A332" s="132"/>
      <c r="B332" s="20"/>
      <c r="C332" s="13" t="s">
        <v>244</v>
      </c>
      <c r="D332" s="36"/>
      <c r="E332" s="14" t="s">
        <v>26</v>
      </c>
      <c r="F332" s="28">
        <v>15.202999999999999</v>
      </c>
      <c r="G332" s="28">
        <v>15.26</v>
      </c>
      <c r="H332" s="28">
        <f>G332-F332</f>
        <v>5.7000000000000384E-2</v>
      </c>
      <c r="I332" s="33"/>
      <c r="J332" s="14"/>
      <c r="K332" s="28"/>
      <c r="L332" s="32"/>
      <c r="M332" s="28"/>
      <c r="N332" s="28"/>
      <c r="O332" s="14"/>
      <c r="P332" s="13">
        <v>0.1421</v>
      </c>
      <c r="Q332" s="106"/>
      <c r="R332" s="15"/>
      <c r="S332" s="435">
        <v>8.0100000000000005E-2</v>
      </c>
      <c r="T332" s="15"/>
      <c r="U332" s="127"/>
    </row>
    <row r="333" spans="1:21" x14ac:dyDescent="0.25">
      <c r="A333" s="132"/>
      <c r="B333" s="20"/>
      <c r="C333" s="13" t="s">
        <v>277</v>
      </c>
      <c r="D333" s="36"/>
      <c r="E333" s="14" t="s">
        <v>25</v>
      </c>
      <c r="F333" s="28">
        <v>15.483000000000001</v>
      </c>
      <c r="G333" s="28">
        <v>15.542999999999999</v>
      </c>
      <c r="H333" s="28">
        <f>G333-F333</f>
        <v>5.9999999999998721E-2</v>
      </c>
      <c r="I333" s="459" t="s">
        <v>18</v>
      </c>
      <c r="J333" s="460"/>
      <c r="K333" s="28">
        <f>L331*K331</f>
        <v>28.341564782383696</v>
      </c>
      <c r="L333" s="32" t="s">
        <v>163</v>
      </c>
      <c r="M333" s="28"/>
      <c r="N333" s="28"/>
      <c r="O333" s="14"/>
      <c r="P333" s="13"/>
      <c r="Q333" s="106"/>
      <c r="R333" s="15"/>
      <c r="S333" s="20"/>
      <c r="T333" s="15"/>
      <c r="U333" s="127"/>
    </row>
    <row r="334" spans="1:21" x14ac:dyDescent="0.25">
      <c r="A334" s="132"/>
      <c r="B334" s="20"/>
      <c r="C334" s="13"/>
      <c r="D334" s="36"/>
      <c r="E334" s="14"/>
      <c r="F334" s="28"/>
      <c r="G334" s="28"/>
      <c r="H334" s="14"/>
      <c r="I334" s="13"/>
      <c r="J334" s="14"/>
      <c r="K334" s="28"/>
      <c r="L334" s="32">
        <f>60*L331/B330</f>
        <v>399.58246054459056</v>
      </c>
      <c r="M334" s="28"/>
      <c r="N334" s="28"/>
      <c r="O334" s="14"/>
      <c r="P334" s="13"/>
      <c r="Q334" s="106"/>
      <c r="R334" s="15"/>
      <c r="S334" s="20"/>
      <c r="T334" s="15"/>
      <c r="U334" s="127"/>
    </row>
    <row r="335" spans="1:21" x14ac:dyDescent="0.25">
      <c r="A335" s="48">
        <v>71</v>
      </c>
      <c r="B335" s="11">
        <v>34</v>
      </c>
      <c r="C335" s="16" t="s">
        <v>66</v>
      </c>
      <c r="D335" s="40" t="s">
        <v>61</v>
      </c>
      <c r="E335" s="17" t="s">
        <v>24</v>
      </c>
      <c r="F335" s="38">
        <v>16.055</v>
      </c>
      <c r="G335" s="38">
        <v>16.111000000000001</v>
      </c>
      <c r="H335" s="17">
        <f>G335-F335</f>
        <v>5.6000000000000938E-2</v>
      </c>
      <c r="I335" s="16" t="s">
        <v>162</v>
      </c>
      <c r="J335" s="17" t="s">
        <v>169</v>
      </c>
      <c r="K335" s="38" t="s">
        <v>166</v>
      </c>
      <c r="L335" s="34" t="s">
        <v>167</v>
      </c>
      <c r="M335" s="38">
        <f>60*SUM(H335:H338)/B335</f>
        <v>0.39000000000000012</v>
      </c>
      <c r="N335" s="38">
        <f>100*SUM(H335:H338)/K338</f>
        <v>0.78977055449126721</v>
      </c>
      <c r="O335" s="17">
        <f>1000*SUM(H335:H338)/K338</f>
        <v>7.8977055449126716</v>
      </c>
      <c r="P335" s="16"/>
      <c r="Q335" s="72">
        <f>SUM(P335:P338)*2/K338</f>
        <v>2.8574684858426111E-2</v>
      </c>
      <c r="R335" s="12"/>
      <c r="S335" s="21"/>
      <c r="T335" s="17">
        <f>SUM(S335:S338)*2/K338</f>
        <v>1.5752527620803185E-2</v>
      </c>
      <c r="U335" s="284">
        <f>(Q335-T335)/T335</f>
        <v>0.81397459165154307</v>
      </c>
    </row>
    <row r="336" spans="1:21" x14ac:dyDescent="0.25">
      <c r="A336" s="146"/>
      <c r="B336" s="21"/>
      <c r="C336" s="16" t="s">
        <v>67</v>
      </c>
      <c r="D336" s="40">
        <v>304</v>
      </c>
      <c r="E336" s="17" t="s">
        <v>23</v>
      </c>
      <c r="F336" s="38">
        <v>16.314</v>
      </c>
      <c r="G336" s="38">
        <v>16.369</v>
      </c>
      <c r="H336" s="17">
        <f>G336-F336</f>
        <v>5.4999999999999716E-2</v>
      </c>
      <c r="I336" s="115">
        <f>7+29/32-2*1.2</f>
        <v>5.5062499999999996</v>
      </c>
      <c r="J336" s="17">
        <v>13</v>
      </c>
      <c r="K336" s="249">
        <v>0.124435</v>
      </c>
      <c r="L336" s="34">
        <f>I336*3.14159*J336</f>
        <v>224.87893918749998</v>
      </c>
      <c r="M336" s="134"/>
      <c r="N336" s="98"/>
      <c r="O336" s="18"/>
      <c r="P336" s="11">
        <v>0.2056</v>
      </c>
      <c r="Q336" s="17"/>
      <c r="R336" s="12"/>
      <c r="S336" s="287">
        <v>0.1096</v>
      </c>
      <c r="T336" s="12"/>
      <c r="U336" s="133"/>
    </row>
    <row r="337" spans="1:21" x14ac:dyDescent="0.25">
      <c r="A337" s="146"/>
      <c r="B337" s="21"/>
      <c r="C337" s="16" t="s">
        <v>244</v>
      </c>
      <c r="D337" s="40"/>
      <c r="E337" s="17" t="s">
        <v>26</v>
      </c>
      <c r="F337" s="38">
        <v>14.771000000000001</v>
      </c>
      <c r="G337" s="38">
        <v>14.826000000000001</v>
      </c>
      <c r="H337" s="17">
        <f>G337-F337</f>
        <v>5.4999999999999716E-2</v>
      </c>
      <c r="I337" s="39"/>
      <c r="J337" s="17"/>
      <c r="K337" s="98"/>
      <c r="L337" s="34"/>
      <c r="M337" s="134"/>
      <c r="N337" s="98"/>
      <c r="O337" s="18"/>
      <c r="P337" s="11">
        <v>0.19420000000000001</v>
      </c>
      <c r="Q337" s="17"/>
      <c r="R337" s="12"/>
      <c r="S337" s="287">
        <v>0.1108</v>
      </c>
      <c r="T337" s="12"/>
      <c r="U337" s="133"/>
    </row>
    <row r="338" spans="1:21" x14ac:dyDescent="0.25">
      <c r="A338" s="146"/>
      <c r="B338" s="21"/>
      <c r="C338" s="16" t="s">
        <v>277</v>
      </c>
      <c r="D338" s="40"/>
      <c r="E338" s="17" t="s">
        <v>25</v>
      </c>
      <c r="F338" s="38">
        <v>15.292</v>
      </c>
      <c r="G338" s="38">
        <v>15.347</v>
      </c>
      <c r="H338" s="17">
        <f>G338-F338</f>
        <v>5.4999999999999716E-2</v>
      </c>
      <c r="I338" s="461" t="s">
        <v>18</v>
      </c>
      <c r="J338" s="256"/>
      <c r="K338" s="38">
        <f>L336*K336</f>
        <v>27.98281079779656</v>
      </c>
      <c r="L338" s="34" t="s">
        <v>163</v>
      </c>
      <c r="M338" s="134"/>
      <c r="N338" s="98"/>
      <c r="O338" s="18"/>
      <c r="P338" s="16"/>
      <c r="Q338" s="18"/>
      <c r="R338" s="12"/>
      <c r="S338" s="21"/>
      <c r="T338" s="12"/>
      <c r="U338" s="133"/>
    </row>
    <row r="339" spans="1:21" ht="13.8" thickBot="1" x14ac:dyDescent="0.3">
      <c r="A339" s="147"/>
      <c r="B339" s="155"/>
      <c r="C339" s="57"/>
      <c r="D339" s="55"/>
      <c r="E339" s="58"/>
      <c r="F339" s="60"/>
      <c r="G339" s="60"/>
      <c r="H339" s="58"/>
      <c r="I339" s="130"/>
      <c r="J339" s="58"/>
      <c r="K339" s="60"/>
      <c r="L339" s="61">
        <f>60*L336/B335</f>
        <v>396.84518680147056</v>
      </c>
      <c r="M339" s="153"/>
      <c r="N339" s="154"/>
      <c r="O339" s="128"/>
      <c r="P339" s="57"/>
      <c r="Q339" s="128"/>
      <c r="R339" s="89"/>
      <c r="S339" s="155"/>
      <c r="T339" s="89"/>
      <c r="U339" s="136"/>
    </row>
    <row r="340" spans="1:21" x14ac:dyDescent="0.25">
      <c r="M340" s="98"/>
      <c r="N340" s="98"/>
      <c r="O340" s="18"/>
    </row>
    <row r="341" spans="1:21" x14ac:dyDescent="0.25">
      <c r="M341" s="98"/>
      <c r="N341" s="98"/>
      <c r="O341" s="18"/>
    </row>
    <row r="342" spans="1:21" x14ac:dyDescent="0.25">
      <c r="M342" s="98"/>
      <c r="N342" s="98"/>
      <c r="O342" s="18"/>
    </row>
  </sheetData>
  <pageMargins left="0.23" right="0.41" top="0.31" bottom="0.55000000000000004" header="0.24" footer="0.35"/>
  <pageSetup scale="69" orientation="landscape" r:id="rId1"/>
  <headerFooter alignWithMargins="0"/>
  <rowBreaks count="5" manualBreakCount="5">
    <brk id="64" max="20" man="1"/>
    <brk id="128" max="20" man="1"/>
    <brk id="192" max="20" man="1"/>
    <brk id="256" max="20" man="1"/>
    <brk id="320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00"/>
  <sheetViews>
    <sheetView view="pageBreakPreview" topLeftCell="A27" zoomScale="75" zoomScaleNormal="100" workbookViewId="0">
      <selection activeCell="E47" sqref="E47:J47"/>
    </sheetView>
  </sheetViews>
  <sheetFormatPr defaultRowHeight="13.2" x14ac:dyDescent="0.25"/>
  <cols>
    <col min="2" max="3" width="9.109375" style="1" customWidth="1"/>
    <col min="4" max="4" width="9.109375" style="5" customWidth="1"/>
    <col min="6" max="6" width="9.109375" style="4" customWidth="1"/>
    <col min="9" max="9" width="16.33203125" bestFit="1" customWidth="1"/>
    <col min="10" max="10" width="14.44140625" bestFit="1" customWidth="1"/>
    <col min="11" max="11" width="9.109375" style="6" customWidth="1"/>
    <col min="12" max="12" width="13.109375" customWidth="1"/>
    <col min="13" max="13" width="11.109375" style="1" customWidth="1"/>
  </cols>
  <sheetData>
    <row r="1" spans="1:13" ht="16.2" thickBot="1" x14ac:dyDescent="0.35">
      <c r="A1" s="71" t="s">
        <v>243</v>
      </c>
      <c r="M1" s="17"/>
    </row>
    <row r="2" spans="1:13" x14ac:dyDescent="0.25">
      <c r="A2" s="43" t="s">
        <v>14</v>
      </c>
      <c r="B2" s="462" t="s">
        <v>158</v>
      </c>
      <c r="C2" s="463"/>
      <c r="D2" s="468"/>
      <c r="E2" s="462" t="s">
        <v>276</v>
      </c>
      <c r="F2" s="463"/>
      <c r="G2" s="463"/>
      <c r="H2" s="463"/>
      <c r="I2" s="463"/>
      <c r="J2" s="463"/>
      <c r="K2" s="468"/>
      <c r="L2" s="46"/>
      <c r="M2" s="259"/>
    </row>
    <row r="3" spans="1:13" x14ac:dyDescent="0.25">
      <c r="A3" s="265"/>
      <c r="B3" s="266"/>
      <c r="C3" s="267"/>
      <c r="D3" s="268"/>
      <c r="E3" s="266"/>
      <c r="F3" s="269"/>
      <c r="G3" s="267"/>
      <c r="H3" s="267"/>
      <c r="I3" s="267"/>
      <c r="J3" s="267"/>
      <c r="K3" s="268"/>
      <c r="L3" s="267"/>
      <c r="M3" s="270"/>
    </row>
    <row r="4" spans="1:13" x14ac:dyDescent="0.25">
      <c r="A4" s="271"/>
      <c r="B4" s="272" t="s">
        <v>21</v>
      </c>
      <c r="C4" s="273" t="s">
        <v>1</v>
      </c>
      <c r="D4" s="274" t="s">
        <v>157</v>
      </c>
      <c r="E4" s="272" t="s">
        <v>155</v>
      </c>
      <c r="F4" s="275" t="s">
        <v>113</v>
      </c>
      <c r="G4" s="273" t="s">
        <v>156</v>
      </c>
      <c r="H4" s="273" t="s">
        <v>157</v>
      </c>
      <c r="I4" s="273" t="s">
        <v>159</v>
      </c>
      <c r="J4" s="273" t="s">
        <v>160</v>
      </c>
      <c r="K4" s="274" t="s">
        <v>9</v>
      </c>
      <c r="L4" s="272" t="s">
        <v>232</v>
      </c>
      <c r="M4" s="276" t="s">
        <v>332</v>
      </c>
    </row>
    <row r="5" spans="1:13" x14ac:dyDescent="0.25">
      <c r="A5" s="47"/>
      <c r="B5" s="29"/>
      <c r="C5" s="10"/>
      <c r="D5" s="30"/>
      <c r="E5" s="29"/>
      <c r="F5" s="9"/>
      <c r="G5" s="10"/>
      <c r="H5" s="10"/>
      <c r="I5" s="10"/>
      <c r="J5" s="10" t="s">
        <v>157</v>
      </c>
      <c r="K5" s="30" t="s">
        <v>157</v>
      </c>
      <c r="L5" s="10" t="s">
        <v>233</v>
      </c>
      <c r="M5" s="260" t="s">
        <v>330</v>
      </c>
    </row>
    <row r="6" spans="1:13" x14ac:dyDescent="0.25">
      <c r="A6" s="277"/>
      <c r="B6" s="278"/>
      <c r="C6" s="235"/>
      <c r="D6" s="279"/>
      <c r="E6" s="278"/>
      <c r="F6" s="280"/>
      <c r="G6" s="235"/>
      <c r="H6" s="235"/>
      <c r="I6" s="235"/>
      <c r="J6" s="235"/>
      <c r="K6" s="281" t="s">
        <v>279</v>
      </c>
      <c r="L6" s="278"/>
      <c r="M6" s="270"/>
    </row>
    <row r="7" spans="1:13" x14ac:dyDescent="0.25">
      <c r="A7" s="49" t="s">
        <v>230</v>
      </c>
      <c r="B7" s="13">
        <v>34</v>
      </c>
      <c r="C7" s="14">
        <v>0.42899999999999999</v>
      </c>
      <c r="D7" s="32">
        <f>1000*C7/60</f>
        <v>7.15</v>
      </c>
      <c r="E7" s="13">
        <v>2</v>
      </c>
      <c r="F7" s="28">
        <v>0.34499999999999997</v>
      </c>
      <c r="G7" s="14">
        <v>15</v>
      </c>
      <c r="H7" s="166">
        <f>F7/G7</f>
        <v>2.3E-2</v>
      </c>
      <c r="I7" s="163">
        <f>$B$79/160</f>
        <v>5.0764832680700641E-3</v>
      </c>
      <c r="J7" s="160">
        <f>H7/I7</f>
        <v>4.5306955200000001</v>
      </c>
      <c r="K7" s="32">
        <f>AVERAGE(J7:J9)</f>
        <v>5.020973682550725</v>
      </c>
      <c r="L7" s="257">
        <f>1-K7/D7</f>
        <v>0.29776591852437417</v>
      </c>
      <c r="M7" s="260" t="s">
        <v>329</v>
      </c>
    </row>
    <row r="8" spans="1:13" x14ac:dyDescent="0.25">
      <c r="A8" s="49" t="s">
        <v>64</v>
      </c>
      <c r="B8" s="13"/>
      <c r="C8" s="14"/>
      <c r="D8" s="32"/>
      <c r="E8" s="13">
        <v>3</v>
      </c>
      <c r="F8" s="28">
        <v>0.442</v>
      </c>
      <c r="G8" s="14">
        <v>15</v>
      </c>
      <c r="H8" s="166">
        <f>F8/G8</f>
        <v>2.9466666666666665E-2</v>
      </c>
      <c r="I8" s="163">
        <f>$B$79/160</f>
        <v>5.0764832680700641E-3</v>
      </c>
      <c r="J8" s="160">
        <f>H8/I8</f>
        <v>5.8045432459130435</v>
      </c>
      <c r="K8" s="32"/>
      <c r="L8" s="257"/>
      <c r="M8" s="260"/>
    </row>
    <row r="9" spans="1:13" x14ac:dyDescent="0.25">
      <c r="A9" s="49" t="s">
        <v>65</v>
      </c>
      <c r="B9" s="13"/>
      <c r="C9" s="14"/>
      <c r="D9" s="32"/>
      <c r="E9" s="13">
        <v>4</v>
      </c>
      <c r="F9" s="28">
        <v>0.36</v>
      </c>
      <c r="G9" s="14">
        <v>15</v>
      </c>
      <c r="H9" s="166">
        <f>F9/G9</f>
        <v>2.4E-2</v>
      </c>
      <c r="I9" s="163">
        <f>$B$79/160</f>
        <v>5.0764832680700641E-3</v>
      </c>
      <c r="J9" s="160">
        <f>H9/I9</f>
        <v>4.7276822817391304</v>
      </c>
      <c r="K9" s="32"/>
      <c r="L9" s="257"/>
      <c r="M9" s="260"/>
    </row>
    <row r="10" spans="1:13" x14ac:dyDescent="0.25">
      <c r="A10" s="49"/>
      <c r="B10" s="13"/>
      <c r="C10" s="14"/>
      <c r="D10" s="32"/>
      <c r="E10" s="13"/>
      <c r="F10" s="28"/>
      <c r="G10" s="14"/>
      <c r="H10" s="166"/>
      <c r="I10" s="163"/>
      <c r="J10" s="160"/>
      <c r="K10" s="32"/>
      <c r="L10" s="257"/>
      <c r="M10" s="260"/>
    </row>
    <row r="11" spans="1:13" x14ac:dyDescent="0.25">
      <c r="A11" s="49"/>
      <c r="B11" s="13">
        <v>53</v>
      </c>
      <c r="C11" s="14">
        <v>0.46500000000000002</v>
      </c>
      <c r="D11" s="32">
        <f>1000*C11/60</f>
        <v>7.75</v>
      </c>
      <c r="E11" s="13">
        <v>2</v>
      </c>
      <c r="F11" s="28">
        <v>0.35499999999999998</v>
      </c>
      <c r="G11" s="14">
        <v>15</v>
      </c>
      <c r="H11" s="166">
        <f>F11/G11</f>
        <v>2.3666666666666666E-2</v>
      </c>
      <c r="I11" s="163">
        <f>$B$79/160</f>
        <v>5.0764832680700641E-3</v>
      </c>
      <c r="J11" s="160">
        <f>H11/I11</f>
        <v>4.6620200278260873</v>
      </c>
      <c r="K11" s="32">
        <f>AVERAGE(J11:J13)</f>
        <v>4.5306955200000001</v>
      </c>
      <c r="L11" s="257">
        <f>1-K11/D11</f>
        <v>0.41539412645161289</v>
      </c>
      <c r="M11" s="260" t="s">
        <v>329</v>
      </c>
    </row>
    <row r="12" spans="1:13" x14ac:dyDescent="0.25">
      <c r="A12" s="49"/>
      <c r="B12" s="13"/>
      <c r="C12" s="14"/>
      <c r="D12" s="32"/>
      <c r="E12" s="13">
        <v>3</v>
      </c>
      <c r="F12" s="28">
        <v>0.33500000000000002</v>
      </c>
      <c r="G12" s="14">
        <v>15</v>
      </c>
      <c r="H12" s="166">
        <f>F12/G12</f>
        <v>2.2333333333333334E-2</v>
      </c>
      <c r="I12" s="163">
        <f>$B$79/160</f>
        <v>5.0764832680700641E-3</v>
      </c>
      <c r="J12" s="160">
        <f>H12/I12</f>
        <v>4.3993710121739138</v>
      </c>
      <c r="K12" s="32"/>
      <c r="L12" s="257"/>
      <c r="M12" s="260"/>
    </row>
    <row r="13" spans="1:13" x14ac:dyDescent="0.25">
      <c r="A13" s="49"/>
      <c r="B13" s="13"/>
      <c r="C13" s="14"/>
      <c r="D13" s="32"/>
      <c r="E13" s="13">
        <v>4</v>
      </c>
      <c r="F13" s="28">
        <v>0.34499999999999997</v>
      </c>
      <c r="G13" s="14">
        <v>15</v>
      </c>
      <c r="H13" s="166">
        <f>F13/G13</f>
        <v>2.3E-2</v>
      </c>
      <c r="I13" s="163">
        <f>$B$79/160</f>
        <v>5.0764832680700641E-3</v>
      </c>
      <c r="J13" s="160">
        <f>H13/I13</f>
        <v>4.5306955200000001</v>
      </c>
      <c r="K13" s="32"/>
      <c r="L13" s="257"/>
      <c r="M13" s="260"/>
    </row>
    <row r="14" spans="1:13" x14ac:dyDescent="0.25">
      <c r="A14" s="49"/>
      <c r="B14" s="13"/>
      <c r="C14" s="14"/>
      <c r="D14" s="32"/>
      <c r="E14" s="13"/>
      <c r="F14" s="28"/>
      <c r="G14" s="14"/>
      <c r="H14" s="166"/>
      <c r="I14" s="163"/>
      <c r="J14" s="160"/>
      <c r="K14" s="32"/>
      <c r="L14" s="257"/>
      <c r="M14" s="260" t="s">
        <v>327</v>
      </c>
    </row>
    <row r="15" spans="1:13" x14ac:dyDescent="0.25">
      <c r="A15" s="48" t="s">
        <v>230</v>
      </c>
      <c r="B15" s="11">
        <v>54</v>
      </c>
      <c r="C15" s="19">
        <v>0.38300000000000001</v>
      </c>
      <c r="D15" s="31">
        <f>1000*C15/60</f>
        <v>6.3833333333333337</v>
      </c>
      <c r="E15" s="11">
        <v>2</v>
      </c>
      <c r="F15" s="26">
        <v>0.40899999999999997</v>
      </c>
      <c r="G15" s="19">
        <v>15</v>
      </c>
      <c r="H15" s="167">
        <f>F15/G15</f>
        <v>2.7266666666666665E-2</v>
      </c>
      <c r="I15" s="164">
        <f>$B$79/160</f>
        <v>5.0764832680700641E-3</v>
      </c>
      <c r="J15" s="157">
        <f>H15/I15</f>
        <v>5.3711723700869562</v>
      </c>
      <c r="K15" s="31">
        <f>AVERAGE(J15:J17)</f>
        <v>4.5175630692173909</v>
      </c>
      <c r="L15" s="140">
        <f>1-K15/D15</f>
        <v>0.29228776983539573</v>
      </c>
      <c r="M15" s="261">
        <f>(0.434+0.145)/2</f>
        <v>0.28949999999999998</v>
      </c>
    </row>
    <row r="16" spans="1:13" x14ac:dyDescent="0.25">
      <c r="A16" s="48" t="s">
        <v>66</v>
      </c>
      <c r="B16" s="11"/>
      <c r="C16" s="19"/>
      <c r="D16" s="31"/>
      <c r="E16" s="11">
        <v>3</v>
      </c>
      <c r="F16" s="26">
        <v>0.37</v>
      </c>
      <c r="G16" s="19">
        <v>15</v>
      </c>
      <c r="H16" s="167">
        <f>F16/G16</f>
        <v>2.4666666666666667E-2</v>
      </c>
      <c r="I16" s="164">
        <f>$B$79/160</f>
        <v>5.0764832680700641E-3</v>
      </c>
      <c r="J16" s="157">
        <f>H16/I16</f>
        <v>4.8590067895652176</v>
      </c>
      <c r="K16" s="31"/>
      <c r="L16" s="140"/>
      <c r="M16" s="260"/>
    </row>
    <row r="17" spans="1:13" x14ac:dyDescent="0.25">
      <c r="A17" s="48" t="s">
        <v>65</v>
      </c>
      <c r="B17" s="11"/>
      <c r="C17" s="19"/>
      <c r="D17" s="31"/>
      <c r="E17" s="11">
        <v>4</v>
      </c>
      <c r="F17" s="26">
        <v>0.253</v>
      </c>
      <c r="G17" s="19">
        <v>15</v>
      </c>
      <c r="H17" s="167">
        <f>F17/G17</f>
        <v>1.6866666666666665E-2</v>
      </c>
      <c r="I17" s="164">
        <f>$B$79/160</f>
        <v>5.0764832680700641E-3</v>
      </c>
      <c r="J17" s="157">
        <f>H17/I17</f>
        <v>3.3225100479999998</v>
      </c>
      <c r="K17" s="31"/>
      <c r="L17" s="140"/>
      <c r="M17" s="260"/>
    </row>
    <row r="18" spans="1:13" x14ac:dyDescent="0.25">
      <c r="A18" s="48"/>
      <c r="B18" s="11"/>
      <c r="C18" s="19"/>
      <c r="D18" s="31"/>
      <c r="E18" s="11"/>
      <c r="F18" s="26"/>
      <c r="G18" s="19"/>
      <c r="H18" s="167"/>
      <c r="I18" s="164"/>
      <c r="J18" s="157"/>
      <c r="K18" s="31"/>
      <c r="L18" s="140"/>
      <c r="M18" s="260" t="s">
        <v>327</v>
      </c>
    </row>
    <row r="19" spans="1:13" x14ac:dyDescent="0.25">
      <c r="A19" s="48"/>
      <c r="B19" s="11">
        <v>55</v>
      </c>
      <c r="C19" s="19">
        <v>0.35599999999999998</v>
      </c>
      <c r="D19" s="31">
        <f>1000*C19/60</f>
        <v>5.9333333333333336</v>
      </c>
      <c r="E19" s="11">
        <v>1</v>
      </c>
      <c r="F19" s="26">
        <v>0.28399999999999997</v>
      </c>
      <c r="G19" s="19">
        <v>15</v>
      </c>
      <c r="H19" s="167">
        <f>F19/G19</f>
        <v>1.8933333333333333E-2</v>
      </c>
      <c r="I19" s="164">
        <f>$B$79/160</f>
        <v>5.0764832680700641E-3</v>
      </c>
      <c r="J19" s="157">
        <f>H19/I19</f>
        <v>3.7296160222608696</v>
      </c>
      <c r="K19" s="31">
        <f>AVERAGE(J19:J22)</f>
        <v>3.5588941620869567</v>
      </c>
      <c r="L19" s="140">
        <f>1-K19/D19</f>
        <v>0.40018637717635563</v>
      </c>
      <c r="M19" s="260">
        <f>(0.653+0.499)/2</f>
        <v>0.57600000000000007</v>
      </c>
    </row>
    <row r="20" spans="1:13" x14ac:dyDescent="0.25">
      <c r="A20" s="48"/>
      <c r="B20" s="11"/>
      <c r="C20" s="19"/>
      <c r="D20" s="31"/>
      <c r="E20" s="11">
        <v>2</v>
      </c>
      <c r="F20" s="26">
        <v>0.309</v>
      </c>
      <c r="G20" s="19">
        <v>15</v>
      </c>
      <c r="H20" s="167">
        <f>F20/G20</f>
        <v>2.06E-2</v>
      </c>
      <c r="I20" s="164">
        <f>$B$79/160</f>
        <v>5.0764832680700641E-3</v>
      </c>
      <c r="J20" s="157">
        <f>H20/I20</f>
        <v>4.0579272918260871</v>
      </c>
      <c r="K20" s="31"/>
      <c r="L20" s="19"/>
      <c r="M20" s="260"/>
    </row>
    <row r="21" spans="1:13" x14ac:dyDescent="0.25">
      <c r="A21" s="48"/>
      <c r="B21" s="11"/>
      <c r="C21" s="19"/>
      <c r="D21" s="31"/>
      <c r="E21" s="11">
        <v>3</v>
      </c>
      <c r="F21" s="26">
        <v>0.23699999999999999</v>
      </c>
      <c r="G21" s="19">
        <v>15</v>
      </c>
      <c r="H21" s="167">
        <f>F21/G21</f>
        <v>1.5799999999999998E-2</v>
      </c>
      <c r="I21" s="164">
        <f>$B$79/160</f>
        <v>5.0764832680700641E-3</v>
      </c>
      <c r="J21" s="157">
        <f>H21/I21</f>
        <v>3.1123908354782608</v>
      </c>
      <c r="K21" s="31"/>
      <c r="L21" s="19"/>
      <c r="M21" s="260"/>
    </row>
    <row r="22" spans="1:13" x14ac:dyDescent="0.25">
      <c r="A22" s="48"/>
      <c r="B22" s="11"/>
      <c r="C22" s="19"/>
      <c r="D22" s="31"/>
      <c r="E22" s="11">
        <v>4</v>
      </c>
      <c r="F22" s="26">
        <v>0.254</v>
      </c>
      <c r="G22" s="19">
        <v>15</v>
      </c>
      <c r="H22" s="167">
        <f>F22/G22</f>
        <v>1.6933333333333335E-2</v>
      </c>
      <c r="I22" s="164">
        <f>$B$79/160</f>
        <v>5.0764832680700641E-3</v>
      </c>
      <c r="J22" s="157">
        <f>H22/I22</f>
        <v>3.3356424987826094</v>
      </c>
      <c r="K22" s="31"/>
      <c r="L22" s="19"/>
      <c r="M22" s="260"/>
    </row>
    <row r="23" spans="1:13" x14ac:dyDescent="0.25">
      <c r="A23" s="48"/>
      <c r="B23" s="11"/>
      <c r="C23" s="19"/>
      <c r="D23" s="31"/>
      <c r="E23" s="11"/>
      <c r="F23" s="26"/>
      <c r="G23" s="19"/>
      <c r="H23" s="167"/>
      <c r="I23" s="164"/>
      <c r="J23" s="157"/>
      <c r="K23" s="31"/>
      <c r="L23" s="140"/>
      <c r="M23" s="260"/>
    </row>
    <row r="24" spans="1:13" x14ac:dyDescent="0.25">
      <c r="A24" s="49" t="s">
        <v>231</v>
      </c>
      <c r="B24" s="13">
        <v>44</v>
      </c>
      <c r="C24" s="14">
        <v>0.46899999999999997</v>
      </c>
      <c r="D24" s="32">
        <f>1000*C24/60</f>
        <v>7.8166666666666664</v>
      </c>
      <c r="E24" s="13">
        <v>1</v>
      </c>
      <c r="F24" s="28">
        <v>0.373</v>
      </c>
      <c r="G24" s="14">
        <v>15</v>
      </c>
      <c r="H24" s="166">
        <f>F24/G24</f>
        <v>2.4866666666666665E-2</v>
      </c>
      <c r="I24" s="163">
        <f>$B$79/160</f>
        <v>5.0764832680700641E-3</v>
      </c>
      <c r="J24" s="160">
        <f>H24/I24</f>
        <v>4.8984041419130433</v>
      </c>
      <c r="K24" s="32">
        <f>AVERAGE(J24:J27)</f>
        <v>5.2299985241739133</v>
      </c>
      <c r="L24" s="257">
        <f>1-K24/D24</f>
        <v>0.33091703315472321</v>
      </c>
      <c r="M24" s="260"/>
    </row>
    <row r="25" spans="1:13" x14ac:dyDescent="0.25">
      <c r="A25" s="49" t="s">
        <v>199</v>
      </c>
      <c r="B25" s="13"/>
      <c r="C25" s="14"/>
      <c r="D25" s="32"/>
      <c r="E25" s="13">
        <v>2</v>
      </c>
      <c r="F25" s="28">
        <v>0.40699999999999997</v>
      </c>
      <c r="G25" s="14">
        <v>15</v>
      </c>
      <c r="H25" s="166">
        <f>F25/G25</f>
        <v>2.7133333333333332E-2</v>
      </c>
      <c r="I25" s="163">
        <f>$B$79/160</f>
        <v>5.0764832680700641E-3</v>
      </c>
      <c r="J25" s="160">
        <f>H25/I25</f>
        <v>5.3449074685217397</v>
      </c>
      <c r="K25" s="32"/>
      <c r="L25" s="257"/>
      <c r="M25" s="260"/>
    </row>
    <row r="26" spans="1:13" x14ac:dyDescent="0.25">
      <c r="A26" s="49" t="s">
        <v>65</v>
      </c>
      <c r="B26" s="13"/>
      <c r="C26" s="14"/>
      <c r="D26" s="32"/>
      <c r="E26" s="13">
        <v>3</v>
      </c>
      <c r="F26" s="28">
        <v>0.45400000000000001</v>
      </c>
      <c r="G26" s="14">
        <v>15</v>
      </c>
      <c r="H26" s="166">
        <f>F26/G26</f>
        <v>3.0266666666666667E-2</v>
      </c>
      <c r="I26" s="163">
        <f>$B$79/160</f>
        <v>5.0764832680700641E-3</v>
      </c>
      <c r="J26" s="160">
        <f>H26/I26</f>
        <v>5.9621326553043481</v>
      </c>
      <c r="K26" s="32"/>
      <c r="L26" s="257"/>
      <c r="M26" s="260"/>
    </row>
    <row r="27" spans="1:13" x14ac:dyDescent="0.25">
      <c r="A27" s="49"/>
      <c r="B27" s="13"/>
      <c r="C27" s="14"/>
      <c r="D27" s="32"/>
      <c r="E27" s="13">
        <v>4</v>
      </c>
      <c r="F27" s="28">
        <v>0.35899999999999999</v>
      </c>
      <c r="G27" s="14">
        <v>15</v>
      </c>
      <c r="H27" s="166">
        <f>F27/G27</f>
        <v>2.3933333333333331E-2</v>
      </c>
      <c r="I27" s="163">
        <f>$B$79/160</f>
        <v>5.0764832680700641E-3</v>
      </c>
      <c r="J27" s="160">
        <f>H27/I27</f>
        <v>4.7145498309565212</v>
      </c>
      <c r="K27" s="32"/>
      <c r="L27" s="257"/>
      <c r="M27" s="260"/>
    </row>
    <row r="28" spans="1:13" x14ac:dyDescent="0.25">
      <c r="A28" s="49"/>
      <c r="B28" s="13"/>
      <c r="C28" s="14"/>
      <c r="D28" s="32"/>
      <c r="E28" s="13"/>
      <c r="F28" s="28"/>
      <c r="G28" s="14"/>
      <c r="H28" s="166"/>
      <c r="I28" s="163"/>
      <c r="J28" s="160"/>
      <c r="K28" s="32"/>
      <c r="L28" s="257"/>
      <c r="M28" s="260"/>
    </row>
    <row r="29" spans="1:13" x14ac:dyDescent="0.25">
      <c r="A29" s="49"/>
      <c r="B29" s="13">
        <v>50</v>
      </c>
      <c r="C29" s="14">
        <v>0.66900000000000004</v>
      </c>
      <c r="D29" s="32">
        <f>1000*C29/60</f>
        <v>11.15</v>
      </c>
      <c r="E29" s="13">
        <v>1</v>
      </c>
      <c r="F29" s="28">
        <v>0.23899999999999999</v>
      </c>
      <c r="G29" s="14">
        <v>15</v>
      </c>
      <c r="H29" s="166">
        <f>F29/G29</f>
        <v>1.5933333333333334E-2</v>
      </c>
      <c r="I29" s="163">
        <f>$B$79/160</f>
        <v>5.0764832680700641E-3</v>
      </c>
      <c r="J29" s="160">
        <f t="shared" ref="J29:J41" si="0">H29/I29</f>
        <v>3.1386557370434787</v>
      </c>
      <c r="K29" s="32">
        <f>AVERAGE(J29:J32)</f>
        <v>5.5484604556521742</v>
      </c>
      <c r="L29" s="257">
        <f>1-K29/D29</f>
        <v>0.50238022819263017</v>
      </c>
      <c r="M29" s="260" t="s">
        <v>329</v>
      </c>
    </row>
    <row r="30" spans="1:13" x14ac:dyDescent="0.25">
      <c r="A30" s="49"/>
      <c r="B30" s="13"/>
      <c r="C30" s="14"/>
      <c r="D30" s="32"/>
      <c r="E30" s="13">
        <v>2</v>
      </c>
      <c r="F30" s="28">
        <v>0.374</v>
      </c>
      <c r="G30" s="14">
        <v>15</v>
      </c>
      <c r="H30" s="166">
        <f t="shared" ref="H30:H41" si="1">F30/G30</f>
        <v>2.4933333333333332E-2</v>
      </c>
      <c r="I30" s="163">
        <f>$B$79/160</f>
        <v>5.0764832680700641E-3</v>
      </c>
      <c r="J30" s="160">
        <f t="shared" si="0"/>
        <v>4.9115365926956525</v>
      </c>
      <c r="K30" s="32"/>
      <c r="L30" s="257"/>
      <c r="M30" s="260"/>
    </row>
    <row r="31" spans="1:13" x14ac:dyDescent="0.25">
      <c r="A31" s="49"/>
      <c r="B31" s="13"/>
      <c r="C31" s="14"/>
      <c r="D31" s="32"/>
      <c r="E31" s="13">
        <v>3</v>
      </c>
      <c r="F31" s="28">
        <v>0.499</v>
      </c>
      <c r="G31" s="14">
        <v>15</v>
      </c>
      <c r="H31" s="166">
        <f t="shared" si="1"/>
        <v>3.3266666666666667E-2</v>
      </c>
      <c r="I31" s="163">
        <f>$B$79/160</f>
        <v>5.0764832680700641E-3</v>
      </c>
      <c r="J31" s="160">
        <f t="shared" si="0"/>
        <v>6.55309294052174</v>
      </c>
      <c r="K31" s="32"/>
      <c r="L31" s="257"/>
      <c r="M31" s="260"/>
    </row>
    <row r="32" spans="1:13" x14ac:dyDescent="0.25">
      <c r="A32" s="49"/>
      <c r="B32" s="13"/>
      <c r="C32" s="14"/>
      <c r="D32" s="32"/>
      <c r="E32" s="13">
        <v>4</v>
      </c>
      <c r="F32" s="28">
        <v>0.57799999999999996</v>
      </c>
      <c r="G32" s="14">
        <v>15</v>
      </c>
      <c r="H32" s="166">
        <f t="shared" si="1"/>
        <v>3.8533333333333329E-2</v>
      </c>
      <c r="I32" s="163">
        <f>$B$79/160</f>
        <v>5.0764832680700641E-3</v>
      </c>
      <c r="J32" s="160">
        <f t="shared" si="0"/>
        <v>7.5905565523478256</v>
      </c>
      <c r="K32" s="32"/>
      <c r="L32" s="257"/>
      <c r="M32" s="260"/>
    </row>
    <row r="33" spans="1:13" x14ac:dyDescent="0.25">
      <c r="A33" s="49"/>
      <c r="B33" s="13"/>
      <c r="C33" s="14"/>
      <c r="D33" s="32"/>
      <c r="E33" s="13"/>
      <c r="F33" s="28"/>
      <c r="G33" s="14"/>
      <c r="H33" s="166"/>
      <c r="I33" s="163"/>
      <c r="J33" s="160"/>
      <c r="K33" s="32"/>
      <c r="L33" s="257"/>
      <c r="M33" s="260" t="s">
        <v>327</v>
      </c>
    </row>
    <row r="34" spans="1:13" x14ac:dyDescent="0.25">
      <c r="A34" s="48" t="s">
        <v>231</v>
      </c>
      <c r="B34" s="11">
        <v>51</v>
      </c>
      <c r="C34" s="19">
        <v>0.441</v>
      </c>
      <c r="D34" s="31">
        <f>1000*C34/60</f>
        <v>7.35</v>
      </c>
      <c r="E34" s="11">
        <v>1</v>
      </c>
      <c r="F34" s="26">
        <v>0.27700000000000002</v>
      </c>
      <c r="G34" s="19">
        <v>15</v>
      </c>
      <c r="H34" s="167">
        <f t="shared" si="1"/>
        <v>1.8466666666666669E-2</v>
      </c>
      <c r="I34" s="164">
        <f>$B$79/160</f>
        <v>5.0764832680700641E-3</v>
      </c>
      <c r="J34" s="157">
        <f t="shared" si="0"/>
        <v>3.6376888667826095</v>
      </c>
      <c r="K34" s="31">
        <f>AVERAGE(J34:J37)</f>
        <v>4.4912981676521735</v>
      </c>
      <c r="L34" s="140">
        <f>1-K34/D34</f>
        <v>0.38893902480922804</v>
      </c>
      <c r="M34" s="260">
        <v>0.42699999999999999</v>
      </c>
    </row>
    <row r="35" spans="1:13" x14ac:dyDescent="0.25">
      <c r="A35" s="48" t="s">
        <v>196</v>
      </c>
      <c r="B35" s="11"/>
      <c r="C35" s="19"/>
      <c r="D35" s="31"/>
      <c r="E35" s="11">
        <v>2</v>
      </c>
      <c r="F35" s="26">
        <v>0.35799999999999998</v>
      </c>
      <c r="G35" s="19">
        <v>15</v>
      </c>
      <c r="H35" s="167">
        <f t="shared" si="1"/>
        <v>2.3866666666666665E-2</v>
      </c>
      <c r="I35" s="164">
        <f>$B$79/160</f>
        <v>5.0764832680700641E-3</v>
      </c>
      <c r="J35" s="157">
        <f t="shared" si="0"/>
        <v>4.701417380173913</v>
      </c>
      <c r="K35" s="31"/>
      <c r="L35" s="140"/>
      <c r="M35" s="260"/>
    </row>
    <row r="36" spans="1:13" x14ac:dyDescent="0.25">
      <c r="A36" s="48" t="s">
        <v>65</v>
      </c>
      <c r="B36" s="11"/>
      <c r="C36" s="19"/>
      <c r="D36" s="31"/>
      <c r="E36" s="11">
        <v>3</v>
      </c>
      <c r="F36" s="26">
        <v>0.309</v>
      </c>
      <c r="G36" s="19">
        <v>15</v>
      </c>
      <c r="H36" s="167">
        <f t="shared" si="1"/>
        <v>2.06E-2</v>
      </c>
      <c r="I36" s="164">
        <f>$B$79/160</f>
        <v>5.0764832680700641E-3</v>
      </c>
      <c r="J36" s="157">
        <f t="shared" si="0"/>
        <v>4.0579272918260871</v>
      </c>
      <c r="K36" s="31"/>
      <c r="L36" s="140"/>
      <c r="M36" s="260"/>
    </row>
    <row r="37" spans="1:13" x14ac:dyDescent="0.25">
      <c r="A37" s="48"/>
      <c r="B37" s="11"/>
      <c r="C37" s="19"/>
      <c r="D37" s="31"/>
      <c r="E37" s="11">
        <v>4</v>
      </c>
      <c r="F37" s="26">
        <v>0.42399999999999999</v>
      </c>
      <c r="G37" s="19">
        <v>15</v>
      </c>
      <c r="H37" s="167">
        <f t="shared" si="1"/>
        <v>2.8266666666666666E-2</v>
      </c>
      <c r="I37" s="164">
        <f>$B$79/160</f>
        <v>5.0764832680700641E-3</v>
      </c>
      <c r="J37" s="157">
        <f t="shared" si="0"/>
        <v>5.5681591318260875</v>
      </c>
      <c r="K37" s="31"/>
      <c r="L37" s="140"/>
      <c r="M37" s="260"/>
    </row>
    <row r="38" spans="1:13" x14ac:dyDescent="0.25">
      <c r="A38" s="48"/>
      <c r="B38" s="11"/>
      <c r="C38" s="19"/>
      <c r="D38" s="31"/>
      <c r="E38" s="11"/>
      <c r="F38" s="26"/>
      <c r="G38" s="19"/>
      <c r="H38" s="167"/>
      <c r="I38" s="164"/>
      <c r="J38" s="157"/>
      <c r="K38" s="31"/>
      <c r="L38" s="140"/>
      <c r="M38" s="260"/>
    </row>
    <row r="39" spans="1:13" x14ac:dyDescent="0.25">
      <c r="A39" s="48"/>
      <c r="B39" s="11">
        <v>52</v>
      </c>
      <c r="C39" s="19">
        <v>0.44400000000000001</v>
      </c>
      <c r="D39" s="31">
        <f>1000*C39/60</f>
        <v>7.4</v>
      </c>
      <c r="E39" s="11">
        <v>1</v>
      </c>
      <c r="F39" s="26">
        <v>0.253</v>
      </c>
      <c r="G39" s="19">
        <v>15</v>
      </c>
      <c r="H39" s="167">
        <f t="shared" si="1"/>
        <v>1.6866666666666665E-2</v>
      </c>
      <c r="I39" s="164">
        <f>$B$79/160</f>
        <v>5.0764832680700641E-3</v>
      </c>
      <c r="J39" s="157">
        <f t="shared" si="0"/>
        <v>3.3225100479999998</v>
      </c>
      <c r="K39" s="31">
        <f>AVERAGE(J39:J42)</f>
        <v>4.1859686869565218</v>
      </c>
      <c r="L39" s="140">
        <f>1-K39/D39</f>
        <v>0.43432855581668628</v>
      </c>
      <c r="M39" s="260"/>
    </row>
    <row r="40" spans="1:13" x14ac:dyDescent="0.25">
      <c r="A40" s="48"/>
      <c r="B40" s="11"/>
      <c r="C40" s="19"/>
      <c r="D40" s="31"/>
      <c r="E40" s="11">
        <v>2</v>
      </c>
      <c r="F40" s="26">
        <v>0.34399999999999997</v>
      </c>
      <c r="G40" s="19">
        <v>15</v>
      </c>
      <c r="H40" s="167">
        <f t="shared" si="1"/>
        <v>2.293333333333333E-2</v>
      </c>
      <c r="I40" s="164">
        <f>$B$79/160</f>
        <v>5.0764832680700641E-3</v>
      </c>
      <c r="J40" s="157">
        <f t="shared" si="0"/>
        <v>4.5175630692173909</v>
      </c>
      <c r="K40" s="31"/>
      <c r="L40" s="140"/>
      <c r="M40" s="260"/>
    </row>
    <row r="41" spans="1:13" x14ac:dyDescent="0.25">
      <c r="A41" s="48"/>
      <c r="B41" s="11"/>
      <c r="C41" s="19"/>
      <c r="D41" s="31"/>
      <c r="E41" s="11">
        <v>3</v>
      </c>
      <c r="F41" s="26">
        <v>0.35</v>
      </c>
      <c r="G41" s="19">
        <v>15</v>
      </c>
      <c r="H41" s="167">
        <f t="shared" si="1"/>
        <v>2.3333333333333331E-2</v>
      </c>
      <c r="I41" s="164">
        <f>$B$79/160</f>
        <v>5.0764832680700641E-3</v>
      </c>
      <c r="J41" s="157">
        <f t="shared" si="0"/>
        <v>4.5963577739130432</v>
      </c>
      <c r="K41" s="31"/>
      <c r="L41" s="140"/>
      <c r="M41" s="260"/>
    </row>
    <row r="42" spans="1:13" x14ac:dyDescent="0.25">
      <c r="A42" s="48"/>
      <c r="B42" s="11"/>
      <c r="C42" s="19"/>
      <c r="D42" s="31"/>
      <c r="E42" s="11">
        <v>4</v>
      </c>
      <c r="F42" s="26">
        <v>0.32800000000000001</v>
      </c>
      <c r="G42" s="19">
        <v>15</v>
      </c>
      <c r="H42" s="167">
        <f>F42/G42</f>
        <v>2.1866666666666666E-2</v>
      </c>
      <c r="I42" s="164">
        <f>$B$79/160</f>
        <v>5.0764832680700641E-3</v>
      </c>
      <c r="J42" s="157">
        <f>H42/I42</f>
        <v>4.3074438566956523</v>
      </c>
      <c r="K42" s="31"/>
      <c r="L42" s="140"/>
      <c r="M42" s="260"/>
    </row>
    <row r="43" spans="1:13" ht="13.8" thickBot="1" x14ac:dyDescent="0.3">
      <c r="A43" s="107"/>
      <c r="B43" s="65"/>
      <c r="C43" s="56"/>
      <c r="D43" s="156"/>
      <c r="E43" s="65"/>
      <c r="F43" s="88"/>
      <c r="G43" s="56"/>
      <c r="H43" s="56"/>
      <c r="I43" s="165"/>
      <c r="J43" s="161"/>
      <c r="K43" s="156"/>
      <c r="L43" s="258"/>
      <c r="M43" s="262"/>
    </row>
    <row r="44" spans="1:13" x14ac:dyDescent="0.25">
      <c r="A44" s="19"/>
      <c r="B44" s="19"/>
      <c r="C44" s="19"/>
      <c r="D44" s="157"/>
      <c r="E44" s="19"/>
      <c r="F44" s="26"/>
      <c r="G44" s="19"/>
      <c r="H44" s="19"/>
      <c r="I44" s="19"/>
      <c r="J44" s="19"/>
      <c r="K44" s="157"/>
      <c r="L44" s="140"/>
    </row>
    <row r="45" spans="1:13" x14ac:dyDescent="0.25">
      <c r="A45" s="1"/>
      <c r="E45" s="1"/>
      <c r="F45" s="26"/>
      <c r="G45" s="19"/>
      <c r="H45" s="1"/>
      <c r="I45" s="1"/>
      <c r="J45" s="1"/>
      <c r="K45" s="5"/>
      <c r="L45" s="137"/>
    </row>
    <row r="46" spans="1:13" ht="16.2" thickBot="1" x14ac:dyDescent="0.35">
      <c r="A46" s="139" t="s">
        <v>243</v>
      </c>
      <c r="E46" s="1"/>
      <c r="F46" s="26"/>
      <c r="G46" s="19"/>
      <c r="H46" s="1"/>
      <c r="I46" s="1"/>
      <c r="J46" s="1"/>
      <c r="K46" s="5"/>
      <c r="L46" s="137"/>
    </row>
    <row r="47" spans="1:13" x14ac:dyDescent="0.25">
      <c r="A47" s="43" t="s">
        <v>14</v>
      </c>
      <c r="B47" s="462" t="s">
        <v>158</v>
      </c>
      <c r="C47" s="463"/>
      <c r="D47" s="468"/>
      <c r="E47" s="462" t="s">
        <v>276</v>
      </c>
      <c r="F47" s="463"/>
      <c r="G47" s="463"/>
      <c r="H47" s="463"/>
      <c r="I47" s="463"/>
      <c r="J47" s="468"/>
      <c r="K47" s="158"/>
      <c r="L47" s="46"/>
      <c r="M47" s="259"/>
    </row>
    <row r="48" spans="1:13" x14ac:dyDescent="0.25">
      <c r="A48" s="48"/>
      <c r="B48" s="29"/>
      <c r="C48" s="10"/>
      <c r="D48" s="30"/>
      <c r="E48" s="29"/>
      <c r="F48" s="9"/>
      <c r="G48" s="10"/>
      <c r="H48" s="10"/>
      <c r="I48" s="10"/>
      <c r="J48" s="22"/>
      <c r="K48" s="159"/>
      <c r="L48" s="10"/>
      <c r="M48" s="260"/>
    </row>
    <row r="49" spans="1:13" x14ac:dyDescent="0.25">
      <c r="A49" s="48"/>
      <c r="B49" s="29" t="s">
        <v>21</v>
      </c>
      <c r="C49" s="10" t="s">
        <v>1</v>
      </c>
      <c r="D49" s="30" t="s">
        <v>157</v>
      </c>
      <c r="E49" s="29" t="s">
        <v>155</v>
      </c>
      <c r="F49" s="9" t="s">
        <v>113</v>
      </c>
      <c r="G49" s="10" t="s">
        <v>156</v>
      </c>
      <c r="H49" s="10" t="s">
        <v>157</v>
      </c>
      <c r="I49" s="10" t="s">
        <v>159</v>
      </c>
      <c r="J49" s="22" t="s">
        <v>160</v>
      </c>
      <c r="K49" s="159" t="s">
        <v>9</v>
      </c>
      <c r="L49" s="10" t="s">
        <v>232</v>
      </c>
      <c r="M49" s="260"/>
    </row>
    <row r="50" spans="1:13" x14ac:dyDescent="0.25">
      <c r="A50" s="48"/>
      <c r="B50" s="29"/>
      <c r="C50" s="10"/>
      <c r="D50" s="30"/>
      <c r="E50" s="29"/>
      <c r="F50" s="9"/>
      <c r="G50" s="10"/>
      <c r="H50" s="10"/>
      <c r="I50" s="10"/>
      <c r="J50" s="22" t="s">
        <v>157</v>
      </c>
      <c r="K50" s="159" t="s">
        <v>157</v>
      </c>
      <c r="L50" s="10" t="s">
        <v>233</v>
      </c>
      <c r="M50" s="260"/>
    </row>
    <row r="51" spans="1:13" x14ac:dyDescent="0.25">
      <c r="A51" s="48"/>
      <c r="B51" s="11"/>
      <c r="C51" s="19"/>
      <c r="D51" s="31"/>
      <c r="E51" s="11"/>
      <c r="F51" s="26"/>
      <c r="G51" s="19"/>
      <c r="H51" s="19"/>
      <c r="I51" s="19"/>
      <c r="J51" s="25"/>
      <c r="K51" s="157" t="s">
        <v>279</v>
      </c>
      <c r="L51" s="19"/>
      <c r="M51" s="260"/>
    </row>
    <row r="52" spans="1:13" x14ac:dyDescent="0.25">
      <c r="A52" s="49" t="s">
        <v>244</v>
      </c>
      <c r="B52" s="13">
        <v>59</v>
      </c>
      <c r="C52" s="28">
        <v>0.19</v>
      </c>
      <c r="D52" s="32">
        <f>1000*C52/60</f>
        <v>3.1666666666666665</v>
      </c>
      <c r="E52" s="13">
        <v>1</v>
      </c>
      <c r="F52" s="28">
        <v>0.14699999999999999</v>
      </c>
      <c r="G52" s="14">
        <v>15</v>
      </c>
      <c r="H52" s="28">
        <f>F52/G52</f>
        <v>9.7999999999999997E-3</v>
      </c>
      <c r="I52" s="163">
        <f>$B$79/160</f>
        <v>5.0764832680700641E-3</v>
      </c>
      <c r="J52" s="87">
        <f>H52/I52</f>
        <v>1.9304702650434784</v>
      </c>
      <c r="K52" s="160">
        <f>AVERAGE(J52:J54)</f>
        <v>2.5433179682318841</v>
      </c>
      <c r="L52" s="257">
        <f>1-K52/D52</f>
        <v>0.19684695740045766</v>
      </c>
      <c r="M52" s="260"/>
    </row>
    <row r="53" spans="1:13" x14ac:dyDescent="0.25">
      <c r="A53" s="49" t="s">
        <v>66</v>
      </c>
      <c r="B53" s="13"/>
      <c r="C53" s="28"/>
      <c r="D53" s="32"/>
      <c r="E53" s="13">
        <v>2</v>
      </c>
      <c r="F53" s="28">
        <v>0.19</v>
      </c>
      <c r="G53" s="14">
        <v>15</v>
      </c>
      <c r="H53" s="28">
        <f t="shared" ref="H53:H66" si="2">F53/G53</f>
        <v>1.2666666666666666E-2</v>
      </c>
      <c r="I53" s="163">
        <f>$B$79/160</f>
        <v>5.0764832680700641E-3</v>
      </c>
      <c r="J53" s="87">
        <f t="shared" ref="J53:J66" si="3">H53/I53</f>
        <v>2.4951656486956524</v>
      </c>
      <c r="K53" s="160"/>
      <c r="L53" s="257"/>
      <c r="M53" s="260"/>
    </row>
    <row r="54" spans="1:13" x14ac:dyDescent="0.25">
      <c r="A54" s="49" t="s">
        <v>67</v>
      </c>
      <c r="B54" s="13"/>
      <c r="C54" s="28"/>
      <c r="D54" s="32"/>
      <c r="E54" s="13">
        <v>3</v>
      </c>
      <c r="F54" s="28">
        <v>0.24399999999999999</v>
      </c>
      <c r="G54" s="14">
        <v>15</v>
      </c>
      <c r="H54" s="28">
        <f t="shared" si="2"/>
        <v>1.6266666666666665E-2</v>
      </c>
      <c r="I54" s="163">
        <f>$B$79/160</f>
        <v>5.0764832680700641E-3</v>
      </c>
      <c r="J54" s="87">
        <f t="shared" si="3"/>
        <v>3.2043179909565218</v>
      </c>
      <c r="K54" s="160"/>
      <c r="L54" s="257"/>
      <c r="M54" s="260"/>
    </row>
    <row r="55" spans="1:13" x14ac:dyDescent="0.25">
      <c r="A55" s="49"/>
      <c r="B55" s="13"/>
      <c r="C55" s="28"/>
      <c r="D55" s="32"/>
      <c r="E55" s="13"/>
      <c r="F55" s="28"/>
      <c r="G55" s="14"/>
      <c r="H55" s="28"/>
      <c r="I55" s="163"/>
      <c r="J55" s="87"/>
      <c r="K55" s="160"/>
      <c r="L55" s="257"/>
      <c r="M55" s="260" t="s">
        <v>327</v>
      </c>
    </row>
    <row r="56" spans="1:13" x14ac:dyDescent="0.25">
      <c r="A56" s="49"/>
      <c r="B56" s="13">
        <v>60</v>
      </c>
      <c r="C56" s="28">
        <v>0.17899999999999999</v>
      </c>
      <c r="D56" s="32">
        <f>1000*C56/60</f>
        <v>2.9833333333333334</v>
      </c>
      <c r="E56" s="13">
        <v>1</v>
      </c>
      <c r="F56" s="28">
        <v>0.14199999999999999</v>
      </c>
      <c r="G56" s="14">
        <v>15</v>
      </c>
      <c r="H56" s="28">
        <f t="shared" si="2"/>
        <v>9.4666666666666666E-3</v>
      </c>
      <c r="I56" s="163">
        <f>$B$79/160</f>
        <v>5.0764832680700641E-3</v>
      </c>
      <c r="J56" s="87">
        <f t="shared" si="3"/>
        <v>1.8648080111304348</v>
      </c>
      <c r="K56" s="160">
        <f>AVERAGE(J56:J58)</f>
        <v>2.341953722898551</v>
      </c>
      <c r="L56" s="257">
        <f>1-K56/D56</f>
        <v>0.21498757891668685</v>
      </c>
      <c r="M56" s="260">
        <v>3.9E-2</v>
      </c>
    </row>
    <row r="57" spans="1:13" x14ac:dyDescent="0.25">
      <c r="A57" s="49"/>
      <c r="B57" s="13"/>
      <c r="C57" s="28"/>
      <c r="D57" s="32"/>
      <c r="E57" s="13">
        <v>2</v>
      </c>
      <c r="F57" s="28">
        <v>0.22800000000000001</v>
      </c>
      <c r="G57" s="14">
        <v>15</v>
      </c>
      <c r="H57" s="28">
        <f t="shared" si="2"/>
        <v>1.52E-2</v>
      </c>
      <c r="I57" s="163">
        <f>$B$79/160</f>
        <v>5.0764832680700641E-3</v>
      </c>
      <c r="J57" s="87">
        <f t="shared" si="3"/>
        <v>2.9941987784347828</v>
      </c>
      <c r="K57" s="160"/>
      <c r="L57" s="257"/>
      <c r="M57" s="260"/>
    </row>
    <row r="58" spans="1:13" x14ac:dyDescent="0.25">
      <c r="A58" s="49"/>
      <c r="B58" s="13"/>
      <c r="C58" s="28"/>
      <c r="D58" s="32"/>
      <c r="E58" s="13">
        <v>3</v>
      </c>
      <c r="F58" s="28">
        <v>0.16500000000000001</v>
      </c>
      <c r="G58" s="14">
        <v>15</v>
      </c>
      <c r="H58" s="28">
        <f t="shared" si="2"/>
        <v>1.1000000000000001E-2</v>
      </c>
      <c r="I58" s="163">
        <f>$B$79/160</f>
        <v>5.0764832680700641E-3</v>
      </c>
      <c r="J58" s="87">
        <f t="shared" si="3"/>
        <v>2.1668543791304353</v>
      </c>
      <c r="K58" s="160"/>
      <c r="L58" s="257"/>
      <c r="M58" s="260"/>
    </row>
    <row r="59" spans="1:13" x14ac:dyDescent="0.25">
      <c r="A59" s="49"/>
      <c r="B59" s="13"/>
      <c r="C59" s="28"/>
      <c r="D59" s="32"/>
      <c r="E59" s="13"/>
      <c r="F59" s="28"/>
      <c r="G59" s="14"/>
      <c r="H59" s="28"/>
      <c r="I59" s="163"/>
      <c r="J59" s="87"/>
      <c r="K59" s="160"/>
      <c r="L59" s="257"/>
      <c r="M59" s="260" t="s">
        <v>327</v>
      </c>
    </row>
    <row r="60" spans="1:13" x14ac:dyDescent="0.25">
      <c r="A60" s="48" t="s">
        <v>244</v>
      </c>
      <c r="B60" s="11">
        <v>61</v>
      </c>
      <c r="C60" s="26">
        <v>0.20399999999999999</v>
      </c>
      <c r="D60" s="31">
        <f>1000*C60/60</f>
        <v>3.4</v>
      </c>
      <c r="E60" s="16">
        <v>1</v>
      </c>
      <c r="F60" s="38">
        <v>0.19600000000000001</v>
      </c>
      <c r="G60" s="17">
        <v>15</v>
      </c>
      <c r="H60" s="38">
        <f t="shared" si="2"/>
        <v>1.3066666666666667E-2</v>
      </c>
      <c r="I60" s="164">
        <f>$B$79/160</f>
        <v>5.0764832680700641E-3</v>
      </c>
      <c r="J60" s="74">
        <f t="shared" si="3"/>
        <v>2.5739603533913047</v>
      </c>
      <c r="K60" s="157">
        <f>AVERAGE(J60:J62)</f>
        <v>2.398861009623189</v>
      </c>
      <c r="L60" s="140">
        <f>1-K60/D60</f>
        <v>0.29445264422847384</v>
      </c>
      <c r="M60" s="260">
        <v>0.28299999999999997</v>
      </c>
    </row>
    <row r="61" spans="1:13" x14ac:dyDescent="0.25">
      <c r="A61" s="48" t="s">
        <v>245</v>
      </c>
      <c r="B61" s="11"/>
      <c r="C61" s="26"/>
      <c r="D61" s="31"/>
      <c r="E61" s="16">
        <v>2</v>
      </c>
      <c r="F61" s="38">
        <v>0.23899999999999999</v>
      </c>
      <c r="G61" s="17">
        <v>15</v>
      </c>
      <c r="H61" s="38">
        <f t="shared" si="2"/>
        <v>1.5933333333333334E-2</v>
      </c>
      <c r="I61" s="164">
        <f>$B$79/160</f>
        <v>5.0764832680700641E-3</v>
      </c>
      <c r="J61" s="74">
        <f t="shared" si="3"/>
        <v>3.1386557370434787</v>
      </c>
      <c r="K61" s="157"/>
      <c r="L61" s="140"/>
      <c r="M61" s="260"/>
    </row>
    <row r="62" spans="1:13" x14ac:dyDescent="0.25">
      <c r="A62" s="48" t="s">
        <v>65</v>
      </c>
      <c r="B62" s="11"/>
      <c r="C62" s="26"/>
      <c r="D62" s="31"/>
      <c r="E62" s="16">
        <v>3</v>
      </c>
      <c r="F62" s="38">
        <v>0.113</v>
      </c>
      <c r="G62" s="17">
        <v>15</v>
      </c>
      <c r="H62" s="38">
        <f t="shared" si="2"/>
        <v>7.5333333333333337E-3</v>
      </c>
      <c r="I62" s="164">
        <f>$B$79/160</f>
        <v>5.0764832680700641E-3</v>
      </c>
      <c r="J62" s="74">
        <f t="shared" si="3"/>
        <v>1.4839669384347829</v>
      </c>
      <c r="K62" s="157"/>
      <c r="L62" s="140"/>
      <c r="M62" s="260"/>
    </row>
    <row r="63" spans="1:13" x14ac:dyDescent="0.25">
      <c r="A63" s="48"/>
      <c r="B63" s="11"/>
      <c r="C63" s="26"/>
      <c r="D63" s="31"/>
      <c r="E63" s="16"/>
      <c r="F63" s="38"/>
      <c r="G63" s="17"/>
      <c r="H63" s="38"/>
      <c r="I63" s="164"/>
      <c r="J63" s="74"/>
      <c r="K63" s="157"/>
      <c r="L63" s="140"/>
      <c r="M63" s="260"/>
    </row>
    <row r="64" spans="1:13" x14ac:dyDescent="0.25">
      <c r="A64" s="48"/>
      <c r="B64" s="11">
        <v>62</v>
      </c>
      <c r="C64" s="26">
        <v>0.39100000000000001</v>
      </c>
      <c r="D64" s="31">
        <f>1000*C64/60</f>
        <v>6.5166666666666666</v>
      </c>
      <c r="E64" s="16">
        <v>1</v>
      </c>
      <c r="F64" s="38">
        <v>0.20300000000000001</v>
      </c>
      <c r="G64" s="17">
        <v>15</v>
      </c>
      <c r="H64" s="38">
        <f t="shared" si="2"/>
        <v>1.3533333333333335E-2</v>
      </c>
      <c r="I64" s="164">
        <f>$B$79/160</f>
        <v>5.0764832680700641E-3</v>
      </c>
      <c r="J64" s="74">
        <f t="shared" si="3"/>
        <v>2.6658875088695657</v>
      </c>
      <c r="K64" s="157">
        <f>AVERAGE(J64:J66)</f>
        <v>2.836609369043479</v>
      </c>
      <c r="L64" s="140">
        <f>1-K64/D64</f>
        <v>0.56471467482708759</v>
      </c>
      <c r="M64" s="260"/>
    </row>
    <row r="65" spans="1:13" x14ac:dyDescent="0.25">
      <c r="A65" s="48"/>
      <c r="B65" s="11"/>
      <c r="C65" s="26"/>
      <c r="D65" s="31"/>
      <c r="E65" s="16">
        <v>2</v>
      </c>
      <c r="F65" s="38">
        <v>0.22600000000000001</v>
      </c>
      <c r="G65" s="17">
        <v>15</v>
      </c>
      <c r="H65" s="38">
        <f t="shared" si="2"/>
        <v>1.5066666666666667E-2</v>
      </c>
      <c r="I65" s="164">
        <f>$B$79/160</f>
        <v>5.0764832680700641E-3</v>
      </c>
      <c r="J65" s="74">
        <f t="shared" si="3"/>
        <v>2.9679338768695658</v>
      </c>
      <c r="K65" s="157"/>
      <c r="L65" s="19"/>
      <c r="M65" s="260"/>
    </row>
    <row r="66" spans="1:13" x14ac:dyDescent="0.25">
      <c r="A66" s="48"/>
      <c r="B66" s="11"/>
      <c r="C66" s="26"/>
      <c r="D66" s="31"/>
      <c r="E66" s="16">
        <v>3</v>
      </c>
      <c r="F66" s="38">
        <v>0.219</v>
      </c>
      <c r="G66" s="17">
        <v>15</v>
      </c>
      <c r="H66" s="38">
        <f t="shared" si="2"/>
        <v>1.46E-2</v>
      </c>
      <c r="I66" s="164">
        <f>$B$79/160</f>
        <v>5.0764832680700641E-3</v>
      </c>
      <c r="J66" s="74">
        <f t="shared" si="3"/>
        <v>2.8760067213913048</v>
      </c>
      <c r="K66" s="157"/>
      <c r="L66" s="19"/>
      <c r="M66" s="260"/>
    </row>
    <row r="67" spans="1:13" x14ac:dyDescent="0.25">
      <c r="A67" s="48"/>
      <c r="B67" s="11"/>
      <c r="C67" s="26"/>
      <c r="D67" s="31"/>
      <c r="E67" s="16"/>
      <c r="F67" s="38"/>
      <c r="G67" s="19"/>
      <c r="H67" s="26"/>
      <c r="I67" s="164"/>
      <c r="J67" s="263"/>
      <c r="K67" s="157"/>
      <c r="L67" s="19"/>
      <c r="M67" s="260"/>
    </row>
    <row r="68" spans="1:13" x14ac:dyDescent="0.25">
      <c r="A68" s="48" t="s">
        <v>244</v>
      </c>
      <c r="B68" s="11">
        <v>70</v>
      </c>
      <c r="C68" s="26">
        <v>0.43157894736841868</v>
      </c>
      <c r="D68" s="31">
        <f>1000*C68/60</f>
        <v>7.1929824561403111</v>
      </c>
      <c r="E68" s="16">
        <v>1</v>
      </c>
      <c r="F68" s="38">
        <v>9.1999999999999998E-2</v>
      </c>
      <c r="G68" s="17">
        <v>15</v>
      </c>
      <c r="H68" s="38">
        <f>F68/G68</f>
        <v>6.1333333333333335E-3</v>
      </c>
      <c r="I68" s="164">
        <f>$B$79/160</f>
        <v>5.0764832680700641E-3</v>
      </c>
      <c r="J68" s="74">
        <f>H68/I68</f>
        <v>1.208185472</v>
      </c>
      <c r="K68" s="157">
        <f>AVERAGE(J68:J71)</f>
        <v>1.6185745589565217</v>
      </c>
      <c r="L68" s="264">
        <f>1-K68/D68</f>
        <v>0.77497865887677497</v>
      </c>
      <c r="M68" s="260"/>
    </row>
    <row r="69" spans="1:13" x14ac:dyDescent="0.25">
      <c r="A69" s="48" t="s">
        <v>245</v>
      </c>
      <c r="B69" s="11"/>
      <c r="C69" s="26"/>
      <c r="D69" s="31"/>
      <c r="E69" s="16">
        <v>2</v>
      </c>
      <c r="F69" s="38">
        <v>0.11600000000000001</v>
      </c>
      <c r="G69" s="17">
        <v>15</v>
      </c>
      <c r="H69" s="38">
        <f>F69/G69</f>
        <v>7.7333333333333334E-3</v>
      </c>
      <c r="I69" s="164">
        <f>$B$79/160</f>
        <v>5.0764832680700641E-3</v>
      </c>
      <c r="J69" s="74">
        <f>H69/I69</f>
        <v>1.5233642907826088</v>
      </c>
      <c r="K69" s="157"/>
      <c r="L69" s="140"/>
      <c r="M69" s="260"/>
    </row>
    <row r="70" spans="1:13" x14ac:dyDescent="0.25">
      <c r="A70" s="48" t="s">
        <v>65</v>
      </c>
      <c r="B70" s="11"/>
      <c r="C70" s="26"/>
      <c r="D70" s="31"/>
      <c r="E70" s="16">
        <v>3</v>
      </c>
      <c r="F70" s="38">
        <v>0.14099999999999999</v>
      </c>
      <c r="G70" s="17">
        <v>15</v>
      </c>
      <c r="H70" s="38">
        <f>F70/G70</f>
        <v>9.3999999999999986E-3</v>
      </c>
      <c r="I70" s="164">
        <f>$B$79/160</f>
        <v>5.0764832680700641E-3</v>
      </c>
      <c r="J70" s="74">
        <f>H70/I70</f>
        <v>1.8516755603478259</v>
      </c>
      <c r="K70" s="157"/>
      <c r="L70" s="140"/>
      <c r="M70" s="260"/>
    </row>
    <row r="71" spans="1:13" x14ac:dyDescent="0.25">
      <c r="A71" s="48"/>
      <c r="B71" s="11"/>
      <c r="C71" s="26"/>
      <c r="D71" s="31"/>
      <c r="E71" s="16">
        <v>4</v>
      </c>
      <c r="F71" s="38">
        <v>0.14399999999999999</v>
      </c>
      <c r="G71" s="17">
        <v>15</v>
      </c>
      <c r="H71" s="38">
        <f>F71/G71</f>
        <v>9.5999999999999992E-3</v>
      </c>
      <c r="I71" s="164">
        <f>$B$79/160</f>
        <v>5.0764832680700641E-3</v>
      </c>
      <c r="J71" s="74">
        <f>H71/I71</f>
        <v>1.891072912695652</v>
      </c>
      <c r="K71" s="157"/>
      <c r="L71" s="140"/>
      <c r="M71" s="260"/>
    </row>
    <row r="72" spans="1:13" x14ac:dyDescent="0.25">
      <c r="A72" s="48"/>
      <c r="B72" s="11"/>
      <c r="C72" s="26"/>
      <c r="D72" s="31"/>
      <c r="E72" s="16"/>
      <c r="F72" s="38"/>
      <c r="G72" s="17"/>
      <c r="H72" s="38"/>
      <c r="I72" s="164"/>
      <c r="J72" s="74"/>
      <c r="K72" s="157"/>
      <c r="L72" s="140"/>
      <c r="M72" s="260"/>
    </row>
    <row r="73" spans="1:13" x14ac:dyDescent="0.25">
      <c r="A73" s="48"/>
      <c r="B73" s="11">
        <v>71</v>
      </c>
      <c r="C73" s="26">
        <v>0.39</v>
      </c>
      <c r="D73" s="31">
        <f>1000*C73/60</f>
        <v>6.5</v>
      </c>
      <c r="E73" s="16">
        <v>1</v>
      </c>
      <c r="F73" s="38">
        <v>0.09</v>
      </c>
      <c r="G73" s="17">
        <v>15</v>
      </c>
      <c r="H73" s="38">
        <f>F73/G73</f>
        <v>6.0000000000000001E-3</v>
      </c>
      <c r="I73" s="164">
        <f>$B$79/160</f>
        <v>5.0764832680700641E-3</v>
      </c>
      <c r="J73" s="74">
        <f>H73/I73</f>
        <v>1.1819205704347826</v>
      </c>
      <c r="K73" s="157">
        <f>AVERAGE(J73:J76)</f>
        <v>2.206251731478261</v>
      </c>
      <c r="L73" s="140">
        <f>1-K73/D73</f>
        <v>0.66057665669565213</v>
      </c>
      <c r="M73" s="260"/>
    </row>
    <row r="74" spans="1:13" x14ac:dyDescent="0.25">
      <c r="A74" s="48"/>
      <c r="B74" s="11"/>
      <c r="C74" s="19"/>
      <c r="D74" s="31"/>
      <c r="E74" s="16">
        <v>2</v>
      </c>
      <c r="F74" s="38">
        <v>0.14000000000000001</v>
      </c>
      <c r="G74" s="17">
        <v>15</v>
      </c>
      <c r="H74" s="38">
        <f>F74/G74</f>
        <v>9.3333333333333341E-3</v>
      </c>
      <c r="I74" s="164">
        <f>$B$79/160</f>
        <v>5.0764832680700641E-3</v>
      </c>
      <c r="J74" s="74">
        <f>H74/I74</f>
        <v>1.8385431095652176</v>
      </c>
      <c r="K74" s="157"/>
      <c r="L74" s="19"/>
      <c r="M74" s="260"/>
    </row>
    <row r="75" spans="1:13" x14ac:dyDescent="0.25">
      <c r="A75" s="48"/>
      <c r="B75" s="11"/>
      <c r="C75" s="19"/>
      <c r="D75" s="31"/>
      <c r="E75" s="16">
        <v>3</v>
      </c>
      <c r="F75" s="38">
        <v>0.215</v>
      </c>
      <c r="G75" s="17">
        <v>15</v>
      </c>
      <c r="H75" s="38">
        <f>F75/G75</f>
        <v>1.4333333333333333E-2</v>
      </c>
      <c r="I75" s="164">
        <f>$B$79/160</f>
        <v>5.0764832680700641E-3</v>
      </c>
      <c r="J75" s="74">
        <f>H75/I75</f>
        <v>2.8234769182608699</v>
      </c>
      <c r="K75" s="157"/>
      <c r="L75" s="19"/>
      <c r="M75" s="260"/>
    </row>
    <row r="76" spans="1:13" x14ac:dyDescent="0.25">
      <c r="A76" s="48"/>
      <c r="B76" s="11"/>
      <c r="C76" s="19"/>
      <c r="D76" s="31"/>
      <c r="E76" s="16">
        <v>4</v>
      </c>
      <c r="F76" s="38">
        <v>0.22700000000000001</v>
      </c>
      <c r="G76" s="17">
        <v>15</v>
      </c>
      <c r="H76" s="38">
        <f>F76/G76</f>
        <v>1.5133333333333334E-2</v>
      </c>
      <c r="I76" s="164">
        <f>$B$79/160</f>
        <v>5.0764832680700641E-3</v>
      </c>
      <c r="J76" s="74">
        <f>H76/I76</f>
        <v>2.9810663276521741</v>
      </c>
      <c r="K76" s="157"/>
      <c r="L76" s="19"/>
      <c r="M76" s="260"/>
    </row>
    <row r="77" spans="1:13" ht="1.5" customHeight="1" thickBot="1" x14ac:dyDescent="0.3">
      <c r="A77" s="107"/>
      <c r="B77" s="65"/>
      <c r="C77" s="56"/>
      <c r="D77" s="156"/>
      <c r="E77" s="57"/>
      <c r="F77" s="60"/>
      <c r="G77" s="56"/>
      <c r="H77" s="56"/>
      <c r="I77" s="56"/>
      <c r="J77" s="118"/>
      <c r="K77" s="161"/>
      <c r="L77" s="56"/>
      <c r="M77" s="262"/>
    </row>
    <row r="78" spans="1:13" x14ac:dyDescent="0.25">
      <c r="A78" t="s">
        <v>225</v>
      </c>
      <c r="B78"/>
      <c r="C78"/>
    </row>
    <row r="79" spans="1:13" ht="13.8" thickBot="1" x14ac:dyDescent="0.3">
      <c r="A79" t="s">
        <v>226</v>
      </c>
      <c r="B79">
        <f>23/28.316847</f>
        <v>0.81223732289121031</v>
      </c>
      <c r="C79" t="s">
        <v>77</v>
      </c>
      <c r="I79" s="12"/>
      <c r="J79" s="12"/>
      <c r="K79" s="162"/>
      <c r="L79" s="12"/>
      <c r="M79" s="19"/>
    </row>
    <row r="80" spans="1:13" ht="13.8" thickBot="1" x14ac:dyDescent="0.3">
      <c r="C80" s="382"/>
      <c r="D80" s="383" t="s">
        <v>369</v>
      </c>
      <c r="E80" s="384"/>
      <c r="I80" s="12"/>
      <c r="J80" s="12"/>
      <c r="K80" s="162"/>
      <c r="L80" s="12"/>
      <c r="M80" s="19"/>
    </row>
    <row r="81" spans="2:13" ht="66" x14ac:dyDescent="0.25">
      <c r="B81" s="368" t="s">
        <v>368</v>
      </c>
      <c r="C81" s="372" t="s">
        <v>370</v>
      </c>
      <c r="D81" s="371" t="s">
        <v>371</v>
      </c>
      <c r="E81" s="373" t="s">
        <v>305</v>
      </c>
      <c r="I81" s="12"/>
      <c r="J81" s="12"/>
      <c r="K81" s="162"/>
      <c r="L81" s="12"/>
      <c r="M81" s="19"/>
    </row>
    <row r="82" spans="2:13" x14ac:dyDescent="0.25">
      <c r="B82" s="369">
        <f>L7</f>
        <v>0.29776591852437417</v>
      </c>
      <c r="C82" s="374" t="s">
        <v>230</v>
      </c>
      <c r="D82" s="370">
        <f>AVERAGE(B82:B83)</f>
        <v>0.35658002248799353</v>
      </c>
      <c r="E82" s="375">
        <f>STDEV(B82:B83)</f>
        <v>8.3175703484171915E-2</v>
      </c>
      <c r="I82" s="12"/>
      <c r="J82" s="12"/>
      <c r="K82" s="162"/>
      <c r="L82" s="12"/>
      <c r="M82" s="19"/>
    </row>
    <row r="83" spans="2:13" x14ac:dyDescent="0.25">
      <c r="B83" s="369">
        <f>L11</f>
        <v>0.41539412645161289</v>
      </c>
      <c r="C83" s="376" t="s">
        <v>64</v>
      </c>
      <c r="D83" s="35"/>
      <c r="E83" s="377"/>
      <c r="I83" s="12"/>
      <c r="J83" s="12"/>
      <c r="K83" s="162"/>
      <c r="L83" s="12"/>
      <c r="M83" s="19"/>
    </row>
    <row r="84" spans="2:13" x14ac:dyDescent="0.25">
      <c r="B84" s="11"/>
      <c r="C84" s="378" t="s">
        <v>338</v>
      </c>
      <c r="D84" s="222"/>
      <c r="E84" s="379"/>
      <c r="I84" s="12"/>
      <c r="J84" s="12"/>
      <c r="K84" s="162"/>
      <c r="L84" s="12"/>
      <c r="M84" s="19"/>
    </row>
    <row r="85" spans="2:13" x14ac:dyDescent="0.25">
      <c r="B85" s="369">
        <f>L15</f>
        <v>0.29228776983539573</v>
      </c>
      <c r="C85" s="374" t="s">
        <v>230</v>
      </c>
      <c r="D85" s="370">
        <f>AVERAGE(B85:B86)</f>
        <v>0.34623707350587568</v>
      </c>
      <c r="E85" s="375">
        <f>STDEV(B85:B86)</f>
        <v>7.629583693137737E-2</v>
      </c>
      <c r="I85" s="12"/>
      <c r="J85" s="12"/>
      <c r="K85" s="162"/>
      <c r="L85" s="12"/>
      <c r="M85" s="19"/>
    </row>
    <row r="86" spans="2:13" x14ac:dyDescent="0.25">
      <c r="B86" s="369">
        <f>L19</f>
        <v>0.40018637717635563</v>
      </c>
      <c r="C86" s="376" t="s">
        <v>66</v>
      </c>
      <c r="D86" s="35"/>
      <c r="E86" s="377"/>
      <c r="I86" s="12"/>
      <c r="J86" s="12"/>
      <c r="K86" s="162"/>
      <c r="L86" s="12"/>
      <c r="M86" s="19"/>
    </row>
    <row r="87" spans="2:13" x14ac:dyDescent="0.25">
      <c r="B87" s="11"/>
      <c r="C87" s="378" t="s">
        <v>338</v>
      </c>
      <c r="D87" s="222"/>
      <c r="E87" s="379"/>
      <c r="I87" s="12"/>
      <c r="J87" s="12"/>
      <c r="K87" s="162"/>
      <c r="L87" s="12"/>
      <c r="M87" s="19"/>
    </row>
    <row r="88" spans="2:13" x14ac:dyDescent="0.25">
      <c r="B88" s="369">
        <f>L24</f>
        <v>0.33091703315472321</v>
      </c>
      <c r="C88" s="374" t="s">
        <v>231</v>
      </c>
      <c r="D88" s="370">
        <f>AVERAGE(B88:B89)</f>
        <v>0.41664863067367669</v>
      </c>
      <c r="E88" s="375">
        <f>STDEV(B88:B89)</f>
        <v>0.12124278793521545</v>
      </c>
      <c r="I88" s="12"/>
      <c r="J88" s="12"/>
      <c r="K88" s="162"/>
      <c r="L88" s="12"/>
      <c r="M88" s="19"/>
    </row>
    <row r="89" spans="2:13" x14ac:dyDescent="0.25">
      <c r="B89" s="369">
        <f>L29</f>
        <v>0.50238022819263017</v>
      </c>
      <c r="C89" s="376" t="s">
        <v>199</v>
      </c>
      <c r="D89" s="35"/>
      <c r="E89" s="377"/>
      <c r="I89" s="12"/>
      <c r="J89" s="12"/>
      <c r="K89" s="162"/>
      <c r="L89" s="12"/>
      <c r="M89" s="19"/>
    </row>
    <row r="90" spans="2:13" x14ac:dyDescent="0.25">
      <c r="B90" s="11"/>
      <c r="C90" s="378" t="s">
        <v>338</v>
      </c>
      <c r="D90" s="222"/>
      <c r="E90" s="379"/>
      <c r="I90" s="12"/>
      <c r="J90" s="12"/>
      <c r="K90" s="162"/>
      <c r="L90" s="12"/>
      <c r="M90" s="19"/>
    </row>
    <row r="91" spans="2:13" x14ac:dyDescent="0.25">
      <c r="B91" s="369">
        <f>L34</f>
        <v>0.38893902480922804</v>
      </c>
      <c r="C91" s="374" t="s">
        <v>231</v>
      </c>
      <c r="D91" s="370">
        <f>AVERAGE(B91:B92)</f>
        <v>0.41163379031295716</v>
      </c>
      <c r="E91" s="375">
        <f>STDEV(B91:B92)</f>
        <v>3.2095245170250787E-2</v>
      </c>
    </row>
    <row r="92" spans="2:13" x14ac:dyDescent="0.25">
      <c r="B92" s="369">
        <f>L39</f>
        <v>0.43432855581668628</v>
      </c>
      <c r="C92" s="376" t="s">
        <v>196</v>
      </c>
      <c r="D92" s="35"/>
      <c r="E92" s="380"/>
    </row>
    <row r="93" spans="2:13" x14ac:dyDescent="0.25">
      <c r="B93" s="11"/>
      <c r="C93" s="378" t="s">
        <v>338</v>
      </c>
      <c r="D93" s="222"/>
      <c r="E93" s="381"/>
    </row>
    <row r="94" spans="2:13" x14ac:dyDescent="0.25">
      <c r="B94" s="369">
        <f>L52</f>
        <v>0.19684695740045766</v>
      </c>
      <c r="C94" s="374" t="s">
        <v>339</v>
      </c>
      <c r="D94" s="370">
        <f>AVERAGE(B94:B95)</f>
        <v>0.20591726815857225</v>
      </c>
      <c r="E94" s="375">
        <f>STDEV(B94:B95)</f>
        <v>1.2827356489064252E-2</v>
      </c>
    </row>
    <row r="95" spans="2:13" x14ac:dyDescent="0.25">
      <c r="B95" s="369">
        <f>L56</f>
        <v>0.21498757891668685</v>
      </c>
      <c r="C95" s="376" t="s">
        <v>66</v>
      </c>
      <c r="D95" s="35"/>
      <c r="E95" s="380"/>
    </row>
    <row r="96" spans="2:13" x14ac:dyDescent="0.25">
      <c r="B96" s="11"/>
      <c r="C96" s="378" t="s">
        <v>340</v>
      </c>
      <c r="D96" s="222"/>
      <c r="E96" s="381"/>
    </row>
    <row r="97" spans="2:5" x14ac:dyDescent="0.25">
      <c r="B97" s="369">
        <f>L60</f>
        <v>0.29445264422847384</v>
      </c>
      <c r="C97" s="374" t="s">
        <v>339</v>
      </c>
      <c r="D97" s="370">
        <f>AVERAGE(B97:B100)</f>
        <v>0.57368065865699713</v>
      </c>
      <c r="E97" s="375">
        <f>STDEV(B97:B100)</f>
        <v>0.20503696599666224</v>
      </c>
    </row>
    <row r="98" spans="2:5" x14ac:dyDescent="0.25">
      <c r="B98" s="369">
        <f>L64</f>
        <v>0.56471467482708759</v>
      </c>
      <c r="C98" s="376" t="s">
        <v>245</v>
      </c>
      <c r="D98" s="35"/>
      <c r="E98" s="380"/>
    </row>
    <row r="99" spans="2:5" ht="13.8" thickBot="1" x14ac:dyDescent="0.3">
      <c r="B99" s="369">
        <f>L68</f>
        <v>0.77497865887677497</v>
      </c>
      <c r="C99" s="288" t="s">
        <v>338</v>
      </c>
      <c r="D99" s="64"/>
      <c r="E99" s="290"/>
    </row>
    <row r="100" spans="2:5" ht="13.8" thickBot="1" x14ac:dyDescent="0.3">
      <c r="B100" s="289">
        <f>L73</f>
        <v>0.66057665669565213</v>
      </c>
      <c r="C100" s="288"/>
      <c r="D100" s="64"/>
      <c r="E100" s="290"/>
    </row>
  </sheetData>
  <pageMargins left="0.75" right="0.75" top="0.38" bottom="0.44" header="0.31" footer="0.35"/>
  <pageSetup scale="75" orientation="landscape" r:id="rId1"/>
  <headerFooter alignWithMargins="0"/>
  <rowBreaks count="1" manualBreakCount="1">
    <brk id="4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63"/>
  <sheetViews>
    <sheetView view="pageBreakPreview" zoomScale="60" zoomScaleNormal="75" workbookViewId="0">
      <selection activeCell="C4" sqref="C4:E4"/>
    </sheetView>
  </sheetViews>
  <sheetFormatPr defaultRowHeight="13.2" x14ac:dyDescent="0.25"/>
  <cols>
    <col min="1" max="1" width="9.109375" style="1" customWidth="1"/>
    <col min="2" max="2" width="17.33203125" style="1" bestFit="1" customWidth="1"/>
    <col min="3" max="3" width="9.109375" style="70" customWidth="1"/>
    <col min="4" max="4" width="10.44140625" bestFit="1" customWidth="1"/>
    <col min="6" max="6" width="9.109375" style="70" customWidth="1"/>
    <col min="8" max="8" width="9.109375" style="70" customWidth="1"/>
    <col min="9" max="9" width="11.33203125" style="1" bestFit="1" customWidth="1"/>
    <col min="10" max="10" width="13" style="1" bestFit="1" customWidth="1"/>
    <col min="11" max="11" width="14.88671875" style="78" bestFit="1" customWidth="1"/>
    <col min="12" max="12" width="15.109375" style="1" bestFit="1" customWidth="1"/>
    <col min="13" max="13" width="12.5546875" style="1" bestFit="1" customWidth="1"/>
    <col min="14" max="14" width="15.109375" style="1" bestFit="1" customWidth="1"/>
    <col min="15" max="15" width="11.109375" style="1" bestFit="1" customWidth="1"/>
  </cols>
  <sheetData>
    <row r="1" spans="1:15" ht="17.399999999999999" x14ac:dyDescent="0.3">
      <c r="A1" s="105" t="s">
        <v>109</v>
      </c>
    </row>
    <row r="3" spans="1:15" ht="13.8" thickBot="1" x14ac:dyDescent="0.3"/>
    <row r="4" spans="1:15" x14ac:dyDescent="0.25">
      <c r="A4" s="43" t="s">
        <v>21</v>
      </c>
      <c r="B4" s="291" t="s">
        <v>16</v>
      </c>
      <c r="C4" s="465" t="s">
        <v>110</v>
      </c>
      <c r="D4" s="466"/>
      <c r="E4" s="466"/>
      <c r="F4" s="465" t="s">
        <v>111</v>
      </c>
      <c r="G4" s="466"/>
      <c r="H4" s="467"/>
      <c r="I4" s="44" t="s">
        <v>69</v>
      </c>
      <c r="J4" s="46" t="s">
        <v>70</v>
      </c>
      <c r="K4" s="79" t="s">
        <v>150</v>
      </c>
      <c r="L4" s="46" t="s">
        <v>112</v>
      </c>
      <c r="M4" s="46" t="s">
        <v>14</v>
      </c>
      <c r="N4" s="80" t="s">
        <v>145</v>
      </c>
      <c r="O4" s="81" t="s">
        <v>147</v>
      </c>
    </row>
    <row r="5" spans="1:15" x14ac:dyDescent="0.25">
      <c r="A5" s="47"/>
      <c r="B5" s="292"/>
      <c r="C5" s="67" t="s">
        <v>73</v>
      </c>
      <c r="D5" s="9" t="s">
        <v>80</v>
      </c>
      <c r="E5" s="180" t="s">
        <v>53</v>
      </c>
      <c r="F5" s="67" t="s">
        <v>73</v>
      </c>
      <c r="G5" s="9" t="s">
        <v>80</v>
      </c>
      <c r="H5" s="73" t="s">
        <v>53</v>
      </c>
      <c r="I5" s="29"/>
      <c r="J5" s="10"/>
      <c r="K5" s="82" t="s">
        <v>151</v>
      </c>
      <c r="L5" s="10" t="s">
        <v>153</v>
      </c>
      <c r="M5" s="10" t="s">
        <v>138</v>
      </c>
      <c r="N5" s="77" t="s">
        <v>146</v>
      </c>
      <c r="O5" s="83" t="s">
        <v>148</v>
      </c>
    </row>
    <row r="6" spans="1:15" s="1" customFormat="1" x14ac:dyDescent="0.25">
      <c r="A6" s="48"/>
      <c r="B6" s="52"/>
      <c r="C6" s="68" t="s">
        <v>54</v>
      </c>
      <c r="D6" s="38" t="s">
        <v>81</v>
      </c>
      <c r="E6" s="74" t="s">
        <v>113</v>
      </c>
      <c r="F6" s="68" t="s">
        <v>54</v>
      </c>
      <c r="G6" s="38" t="s">
        <v>81</v>
      </c>
      <c r="H6" s="75" t="s">
        <v>113</v>
      </c>
      <c r="I6" s="11" t="s">
        <v>0</v>
      </c>
      <c r="J6" s="19" t="s">
        <v>77</v>
      </c>
      <c r="K6" s="84" t="s">
        <v>152</v>
      </c>
      <c r="L6" s="19" t="s">
        <v>113</v>
      </c>
      <c r="M6" s="19" t="s">
        <v>144</v>
      </c>
      <c r="N6" s="11" t="s">
        <v>149</v>
      </c>
      <c r="O6" s="51" t="s">
        <v>154</v>
      </c>
    </row>
    <row r="7" spans="1:15" x14ac:dyDescent="0.25">
      <c r="A7" s="48"/>
      <c r="B7" s="52"/>
      <c r="C7" s="68"/>
      <c r="D7" s="38"/>
      <c r="E7" s="74"/>
      <c r="F7" s="68"/>
      <c r="G7" s="38"/>
      <c r="H7" s="75"/>
      <c r="I7" s="11"/>
      <c r="J7" s="19"/>
      <c r="K7" s="84"/>
      <c r="L7" s="19"/>
      <c r="M7" s="19"/>
      <c r="N7" s="11" t="s">
        <v>280</v>
      </c>
      <c r="O7" s="51"/>
    </row>
    <row r="8" spans="1:15" x14ac:dyDescent="0.25">
      <c r="A8" s="49">
        <v>1</v>
      </c>
      <c r="B8" s="63" t="s">
        <v>68</v>
      </c>
      <c r="C8" s="69" t="e">
        <f>NA()</f>
        <v>#N/A</v>
      </c>
      <c r="D8" s="28"/>
      <c r="E8" s="76" t="e">
        <f>NA()</f>
        <v>#N/A</v>
      </c>
      <c r="F8" s="69" t="e">
        <f>NA()</f>
        <v>#N/A</v>
      </c>
      <c r="G8" s="28">
        <v>200</v>
      </c>
      <c r="H8" s="76">
        <v>0</v>
      </c>
      <c r="I8" s="13">
        <v>6.65</v>
      </c>
      <c r="J8" s="14">
        <v>1.3128899999999999</v>
      </c>
      <c r="K8" s="85">
        <f>J8/40</f>
        <v>3.2822249999999997E-2</v>
      </c>
      <c r="L8" s="14">
        <f>H8*40/J8</f>
        <v>0</v>
      </c>
      <c r="M8" s="76" t="e">
        <f>NA()</f>
        <v>#N/A</v>
      </c>
      <c r="N8" s="184" t="e">
        <f>L8/E8</f>
        <v>#N/A</v>
      </c>
      <c r="O8" s="185" t="e">
        <f>L8/M8</f>
        <v>#N/A</v>
      </c>
    </row>
    <row r="9" spans="1:15" x14ac:dyDescent="0.25">
      <c r="A9" s="49"/>
      <c r="B9" s="63"/>
      <c r="C9" s="69"/>
      <c r="D9" s="28"/>
      <c r="E9" s="87"/>
      <c r="F9" s="69"/>
      <c r="G9" s="28"/>
      <c r="H9" s="76"/>
      <c r="I9" s="13"/>
      <c r="J9" s="14"/>
      <c r="K9" s="85"/>
      <c r="L9" s="14"/>
      <c r="M9" s="14"/>
      <c r="N9" s="184"/>
      <c r="O9" s="185"/>
    </row>
    <row r="10" spans="1:15" x14ac:dyDescent="0.25">
      <c r="A10" s="49"/>
      <c r="B10" s="63"/>
      <c r="C10" s="69"/>
      <c r="D10" s="28"/>
      <c r="E10" s="87"/>
      <c r="F10" s="69"/>
      <c r="G10" s="28"/>
      <c r="H10" s="76"/>
      <c r="I10" s="13"/>
      <c r="J10" s="14"/>
      <c r="K10" s="85"/>
      <c r="L10" s="14"/>
      <c r="M10" s="14"/>
      <c r="N10" s="184"/>
      <c r="O10" s="185"/>
    </row>
    <row r="11" spans="1:15" x14ac:dyDescent="0.25">
      <c r="A11" s="49"/>
      <c r="B11" s="63"/>
      <c r="C11" s="69"/>
      <c r="D11" s="28"/>
      <c r="E11" s="87"/>
      <c r="F11" s="69"/>
      <c r="G11" s="28"/>
      <c r="H11" s="76"/>
      <c r="I11" s="13"/>
      <c r="J11" s="14"/>
      <c r="K11" s="85"/>
      <c r="L11" s="14"/>
      <c r="M11" s="14"/>
      <c r="N11" s="184"/>
      <c r="O11" s="185"/>
    </row>
    <row r="12" spans="1:15" x14ac:dyDescent="0.25">
      <c r="A12" s="53">
        <v>2</v>
      </c>
      <c r="B12" s="53" t="s">
        <v>71</v>
      </c>
      <c r="C12" s="68">
        <v>0.31080000000000002</v>
      </c>
      <c r="D12" s="38">
        <v>1000</v>
      </c>
      <c r="E12" s="74">
        <f>C12</f>
        <v>0.31080000000000002</v>
      </c>
      <c r="F12" s="68">
        <v>1E-3</v>
      </c>
      <c r="G12" s="38">
        <v>200</v>
      </c>
      <c r="H12" s="76">
        <f>F12/5</f>
        <v>2.0000000000000001E-4</v>
      </c>
      <c r="I12" s="11">
        <v>6</v>
      </c>
      <c r="J12" s="19">
        <v>1.2435</v>
      </c>
      <c r="K12" s="84">
        <f>J12/40</f>
        <v>3.1087500000000001E-2</v>
      </c>
      <c r="L12" s="19">
        <f>H12*40/J12</f>
        <v>6.4334539605950944E-3</v>
      </c>
      <c r="M12" s="17">
        <f>32.559+10.58</f>
        <v>43.138999999999996</v>
      </c>
      <c r="N12" s="186">
        <f>L12/E12</f>
        <v>2.0699658817873532E-2</v>
      </c>
      <c r="O12" s="187">
        <f>L12/M12</f>
        <v>1.491331268827533E-4</v>
      </c>
    </row>
    <row r="13" spans="1:15" x14ac:dyDescent="0.25">
      <c r="A13" s="53"/>
      <c r="B13" s="53" t="s">
        <v>72</v>
      </c>
      <c r="C13" s="68"/>
      <c r="D13" s="38"/>
      <c r="E13" s="74"/>
      <c r="F13" s="68"/>
      <c r="G13" s="38"/>
      <c r="H13" s="75"/>
      <c r="I13" s="11"/>
      <c r="J13" s="19"/>
      <c r="K13" s="84"/>
      <c r="L13" s="19"/>
      <c r="M13" s="17"/>
      <c r="N13" s="186"/>
      <c r="O13" s="187"/>
    </row>
    <row r="14" spans="1:15" x14ac:dyDescent="0.25">
      <c r="A14" s="53"/>
      <c r="B14" s="53"/>
      <c r="C14" s="68"/>
      <c r="D14" s="38"/>
      <c r="E14" s="74"/>
      <c r="F14" s="68"/>
      <c r="G14" s="38"/>
      <c r="H14" s="75"/>
      <c r="I14" s="11"/>
      <c r="J14" s="19"/>
      <c r="K14" s="84"/>
      <c r="L14" s="19"/>
      <c r="M14" s="17"/>
      <c r="N14" s="186"/>
      <c r="O14" s="187"/>
    </row>
    <row r="15" spans="1:15" x14ac:dyDescent="0.25">
      <c r="A15" s="53"/>
      <c r="B15" s="53"/>
      <c r="C15" s="68"/>
      <c r="D15" s="38"/>
      <c r="E15" s="74"/>
      <c r="F15" s="68"/>
      <c r="G15" s="38"/>
      <c r="H15" s="75"/>
      <c r="I15" s="11"/>
      <c r="J15" s="19"/>
      <c r="K15" s="84"/>
      <c r="L15" s="19"/>
      <c r="M15" s="17"/>
      <c r="N15" s="186"/>
      <c r="O15" s="187"/>
    </row>
    <row r="16" spans="1:15" x14ac:dyDescent="0.25">
      <c r="A16" s="49">
        <v>3</v>
      </c>
      <c r="B16" s="49" t="s">
        <v>78</v>
      </c>
      <c r="C16" s="69">
        <v>4.7320000000000002</v>
      </c>
      <c r="D16" s="28">
        <v>1000</v>
      </c>
      <c r="E16" s="87">
        <f>C16</f>
        <v>4.7320000000000002</v>
      </c>
      <c r="F16" s="69">
        <v>1E-3</v>
      </c>
      <c r="G16" s="28">
        <v>200</v>
      </c>
      <c r="H16" s="76">
        <f>F16/5</f>
        <v>2.0000000000000001E-4</v>
      </c>
      <c r="I16" s="13">
        <v>6.85</v>
      </c>
      <c r="J16" s="14">
        <v>1.3318099999999999</v>
      </c>
      <c r="K16" s="85">
        <f>J16/40</f>
        <v>3.3295249999999998E-2</v>
      </c>
      <c r="L16" s="14">
        <f>H16*40/J16</f>
        <v>6.0068628407956093E-3</v>
      </c>
      <c r="M16" s="14">
        <v>98.11</v>
      </c>
      <c r="N16" s="184">
        <f>L16/E16</f>
        <v>1.2694131109035522E-3</v>
      </c>
      <c r="O16" s="185">
        <f>L16/M16</f>
        <v>6.1225795951438275E-5</v>
      </c>
    </row>
    <row r="17" spans="1:15" x14ac:dyDescent="0.25">
      <c r="A17" s="49"/>
      <c r="B17" s="49" t="s">
        <v>57</v>
      </c>
      <c r="C17" s="69"/>
      <c r="D17" s="28"/>
      <c r="E17" s="87"/>
      <c r="F17" s="69"/>
      <c r="G17" s="28"/>
      <c r="H17" s="76"/>
      <c r="I17" s="13"/>
      <c r="J17" s="14"/>
      <c r="K17" s="85"/>
      <c r="L17" s="14"/>
      <c r="M17" s="14"/>
      <c r="N17" s="184"/>
      <c r="O17" s="185"/>
    </row>
    <row r="18" spans="1:15" x14ac:dyDescent="0.25">
      <c r="A18" s="49"/>
      <c r="B18" s="63"/>
      <c r="C18" s="69"/>
      <c r="D18" s="28"/>
      <c r="E18" s="87"/>
      <c r="F18" s="69"/>
      <c r="G18" s="28"/>
      <c r="H18" s="76"/>
      <c r="I18" s="13"/>
      <c r="J18" s="14"/>
      <c r="K18" s="85"/>
      <c r="L18" s="14"/>
      <c r="M18" s="14"/>
      <c r="N18" s="184"/>
      <c r="O18" s="185"/>
    </row>
    <row r="19" spans="1:15" x14ac:dyDescent="0.25">
      <c r="A19" s="49"/>
      <c r="B19" s="63"/>
      <c r="C19" s="69"/>
      <c r="D19" s="28"/>
      <c r="E19" s="87"/>
      <c r="F19" s="69"/>
      <c r="G19" s="28"/>
      <c r="H19" s="76"/>
      <c r="I19" s="13"/>
      <c r="J19" s="14"/>
      <c r="K19" s="85"/>
      <c r="L19" s="14"/>
      <c r="M19" s="14"/>
      <c r="N19" s="184"/>
      <c r="O19" s="185"/>
    </row>
    <row r="20" spans="1:15" x14ac:dyDescent="0.25">
      <c r="A20" s="53">
        <v>4</v>
      </c>
      <c r="B20" s="52" t="s">
        <v>79</v>
      </c>
      <c r="C20" s="68">
        <v>3.9</v>
      </c>
      <c r="D20" s="38">
        <v>1000</v>
      </c>
      <c r="E20" s="74">
        <f>C20</f>
        <v>3.9</v>
      </c>
      <c r="F20" s="68">
        <v>4.7999999999999996E-3</v>
      </c>
      <c r="G20" s="38">
        <v>200</v>
      </c>
      <c r="H20" s="75">
        <f>F20/5</f>
        <v>9.5999999999999992E-4</v>
      </c>
      <c r="I20" s="11">
        <v>7.3</v>
      </c>
      <c r="J20" s="19">
        <v>1.37558</v>
      </c>
      <c r="K20" s="84">
        <f>J20/40</f>
        <v>3.4389500000000003E-2</v>
      </c>
      <c r="L20" s="19">
        <f>H20*40/J20</f>
        <v>2.7915497462888378E-2</v>
      </c>
      <c r="M20" s="17">
        <v>101.408</v>
      </c>
      <c r="N20" s="186">
        <f>L20/E20</f>
        <v>7.1578198622790712E-3</v>
      </c>
      <c r="O20" s="187">
        <f>L20/M20</f>
        <v>2.7527904566590781E-4</v>
      </c>
    </row>
    <row r="21" spans="1:15" x14ac:dyDescent="0.25">
      <c r="A21" s="53"/>
      <c r="B21" s="52" t="s">
        <v>57</v>
      </c>
      <c r="C21" s="68"/>
      <c r="D21" s="38"/>
      <c r="E21" s="74"/>
      <c r="F21" s="68"/>
      <c r="G21" s="38"/>
      <c r="H21" s="75"/>
      <c r="I21" s="11"/>
      <c r="J21" s="19"/>
      <c r="K21" s="84"/>
      <c r="L21" s="19"/>
      <c r="M21" s="17"/>
      <c r="N21" s="186"/>
      <c r="O21" s="187"/>
    </row>
    <row r="22" spans="1:15" x14ac:dyDescent="0.25">
      <c r="A22" s="53"/>
      <c r="B22" s="52"/>
      <c r="C22" s="68"/>
      <c r="D22" s="38"/>
      <c r="E22" s="74"/>
      <c r="F22" s="68"/>
      <c r="G22" s="38"/>
      <c r="H22" s="75"/>
      <c r="I22" s="11"/>
      <c r="J22" s="19"/>
      <c r="K22" s="84"/>
      <c r="L22" s="19"/>
      <c r="M22" s="17"/>
      <c r="N22" s="186"/>
      <c r="O22" s="187"/>
    </row>
    <row r="23" spans="1:15" x14ac:dyDescent="0.25">
      <c r="A23" s="53"/>
      <c r="B23" s="52"/>
      <c r="C23" s="68"/>
      <c r="D23" s="38"/>
      <c r="E23" s="74"/>
      <c r="F23" s="68"/>
      <c r="G23" s="38"/>
      <c r="H23" s="75"/>
      <c r="I23" s="11"/>
      <c r="J23" s="19"/>
      <c r="K23" s="84"/>
      <c r="L23" s="19"/>
      <c r="M23" s="17"/>
      <c r="N23" s="186"/>
      <c r="O23" s="187"/>
    </row>
    <row r="24" spans="1:15" x14ac:dyDescent="0.25">
      <c r="A24" s="49">
        <v>5</v>
      </c>
      <c r="B24" s="63" t="s">
        <v>126</v>
      </c>
      <c r="C24" s="69">
        <v>0.73</v>
      </c>
      <c r="D24" s="28">
        <v>1000</v>
      </c>
      <c r="E24" s="87">
        <f>C24</f>
        <v>0.73</v>
      </c>
      <c r="F24" s="69">
        <v>8.9999999999999998E-4</v>
      </c>
      <c r="G24" s="28">
        <v>200</v>
      </c>
      <c r="H24" s="76">
        <f>F24/5</f>
        <v>1.7999999999999998E-4</v>
      </c>
      <c r="I24" s="13">
        <v>6.33</v>
      </c>
      <c r="J24" s="14">
        <v>1.277666</v>
      </c>
      <c r="K24" s="85">
        <f>J24/40</f>
        <v>3.1941650000000002E-2</v>
      </c>
      <c r="L24" s="14">
        <f>H24*40/J24</f>
        <v>5.6352755728022817E-3</v>
      </c>
      <c r="M24" s="14">
        <v>83.578000000000003</v>
      </c>
      <c r="N24" s="184">
        <f>L24/E24</f>
        <v>7.7195555791812077E-3</v>
      </c>
      <c r="O24" s="185">
        <f>L24/M24</f>
        <v>6.7425346057602251E-5</v>
      </c>
    </row>
    <row r="25" spans="1:15" x14ac:dyDescent="0.25">
      <c r="A25" s="49"/>
      <c r="B25" s="63" t="s">
        <v>123</v>
      </c>
      <c r="C25" s="69"/>
      <c r="D25" s="28"/>
      <c r="E25" s="87"/>
      <c r="F25" s="69"/>
      <c r="G25" s="28"/>
      <c r="H25" s="76"/>
      <c r="I25" s="13"/>
      <c r="J25" s="14"/>
      <c r="K25" s="85"/>
      <c r="L25" s="14"/>
      <c r="M25" s="14"/>
      <c r="N25" s="184"/>
      <c r="O25" s="185"/>
    </row>
    <row r="26" spans="1:15" x14ac:dyDescent="0.25">
      <c r="A26" s="49"/>
      <c r="B26" s="63"/>
      <c r="C26" s="69"/>
      <c r="D26" s="28"/>
      <c r="E26" s="87"/>
      <c r="F26" s="69"/>
      <c r="G26" s="28"/>
      <c r="H26" s="76"/>
      <c r="I26" s="13"/>
      <c r="J26" s="14"/>
      <c r="K26" s="85"/>
      <c r="L26" s="14"/>
      <c r="M26" s="14"/>
      <c r="N26" s="184"/>
      <c r="O26" s="185"/>
    </row>
    <row r="27" spans="1:15" x14ac:dyDescent="0.25">
      <c r="A27" s="49"/>
      <c r="B27" s="63"/>
      <c r="C27" s="69"/>
      <c r="D27" s="28"/>
      <c r="E27" s="87"/>
      <c r="F27" s="69"/>
      <c r="G27" s="28"/>
      <c r="H27" s="76"/>
      <c r="I27" s="13"/>
      <c r="J27" s="14"/>
      <c r="K27" s="85"/>
      <c r="L27" s="14"/>
      <c r="M27" s="14"/>
      <c r="N27" s="184"/>
      <c r="O27" s="185"/>
    </row>
    <row r="28" spans="1:15" x14ac:dyDescent="0.25">
      <c r="A28" s="53">
        <v>6</v>
      </c>
      <c r="B28" s="52" t="s">
        <v>68</v>
      </c>
      <c r="C28" s="182" t="e">
        <f>NA()</f>
        <v>#N/A</v>
      </c>
      <c r="D28" s="38"/>
      <c r="E28" s="183" t="e">
        <f>NA()</f>
        <v>#N/A</v>
      </c>
      <c r="F28" s="68">
        <v>8.0000000000000004E-4</v>
      </c>
      <c r="G28" s="38">
        <v>200</v>
      </c>
      <c r="H28" s="75">
        <f>F28/5</f>
        <v>1.6000000000000001E-4</v>
      </c>
      <c r="I28" s="11">
        <v>6.2</v>
      </c>
      <c r="J28" s="19">
        <v>1.264</v>
      </c>
      <c r="K28" s="84">
        <f>J28/40</f>
        <v>3.1600000000000003E-2</v>
      </c>
      <c r="L28" s="19">
        <f>H28*40/J28</f>
        <v>5.0632911392405064E-3</v>
      </c>
      <c r="M28" s="183" t="e">
        <f>NA()</f>
        <v>#N/A</v>
      </c>
      <c r="N28" s="186" t="e">
        <f>L28/E28</f>
        <v>#N/A</v>
      </c>
      <c r="O28" s="187" t="e">
        <f>L28/M28</f>
        <v>#N/A</v>
      </c>
    </row>
    <row r="29" spans="1:15" x14ac:dyDescent="0.25">
      <c r="A29" s="53"/>
      <c r="B29" s="52" t="s">
        <v>142</v>
      </c>
      <c r="C29" s="68"/>
      <c r="D29" s="38"/>
      <c r="E29" s="74"/>
      <c r="F29" s="68"/>
      <c r="G29" s="38"/>
      <c r="H29" s="75"/>
      <c r="I29" s="11"/>
      <c r="J29" s="19"/>
      <c r="K29" s="84"/>
      <c r="L29" s="19"/>
      <c r="M29" s="17"/>
      <c r="N29" s="186"/>
      <c r="O29" s="187"/>
    </row>
    <row r="30" spans="1:15" x14ac:dyDescent="0.25">
      <c r="A30" s="53"/>
      <c r="B30" s="52"/>
      <c r="C30" s="68"/>
      <c r="D30" s="38"/>
      <c r="E30" s="74"/>
      <c r="F30" s="68"/>
      <c r="G30" s="38"/>
      <c r="H30" s="75"/>
      <c r="I30" s="11"/>
      <c r="J30" s="19"/>
      <c r="K30" s="84"/>
      <c r="L30" s="19"/>
      <c r="M30" s="17"/>
      <c r="N30" s="186"/>
      <c r="O30" s="187"/>
    </row>
    <row r="31" spans="1:15" x14ac:dyDescent="0.25">
      <c r="A31" s="53"/>
      <c r="B31" s="52"/>
      <c r="C31" s="68"/>
      <c r="D31" s="38"/>
      <c r="E31" s="74"/>
      <c r="F31" s="68"/>
      <c r="G31" s="38"/>
      <c r="H31" s="75"/>
      <c r="I31" s="11"/>
      <c r="J31" s="19"/>
      <c r="K31" s="84"/>
      <c r="L31" s="19"/>
      <c r="M31" s="17"/>
      <c r="N31" s="186"/>
      <c r="O31" s="187"/>
    </row>
    <row r="32" spans="1:15" x14ac:dyDescent="0.25">
      <c r="A32" s="49">
        <v>7</v>
      </c>
      <c r="B32" s="63" t="s">
        <v>137</v>
      </c>
      <c r="C32" s="69">
        <v>0.71299999999999997</v>
      </c>
      <c r="D32" s="28">
        <v>1000</v>
      </c>
      <c r="E32" s="87">
        <v>0.71299999999999997</v>
      </c>
      <c r="F32" s="69">
        <v>8.9999999999999998E-4</v>
      </c>
      <c r="G32" s="28">
        <v>200</v>
      </c>
      <c r="H32" s="76">
        <f>F32/5</f>
        <v>1.7999999999999998E-4</v>
      </c>
      <c r="I32" s="13">
        <v>7.3</v>
      </c>
      <c r="J32" s="14">
        <v>1.37558</v>
      </c>
      <c r="K32" s="85">
        <f>J32/40</f>
        <v>3.4389500000000003E-2</v>
      </c>
      <c r="L32" s="14">
        <f>H32*40/J32</f>
        <v>5.2341557742915717E-3</v>
      </c>
      <c r="M32" s="14">
        <v>86.037000000000006</v>
      </c>
      <c r="N32" s="184">
        <f>L32/E32</f>
        <v>7.3410319415029056E-3</v>
      </c>
      <c r="O32" s="185">
        <f>L32/M32</f>
        <v>6.0836102773127511E-5</v>
      </c>
    </row>
    <row r="33" spans="1:15" x14ac:dyDescent="0.25">
      <c r="A33" s="49"/>
      <c r="B33" s="63" t="s">
        <v>123</v>
      </c>
      <c r="C33" s="69"/>
      <c r="D33" s="28"/>
      <c r="E33" s="87"/>
      <c r="F33" s="69"/>
      <c r="G33" s="28"/>
      <c r="H33" s="76"/>
      <c r="I33" s="13"/>
      <c r="J33" s="14"/>
      <c r="K33" s="85"/>
      <c r="L33" s="14"/>
      <c r="M33" s="14"/>
      <c r="N33" s="184"/>
      <c r="O33" s="185"/>
    </row>
    <row r="34" spans="1:15" x14ac:dyDescent="0.25">
      <c r="A34" s="49"/>
      <c r="B34" s="63"/>
      <c r="C34" s="69"/>
      <c r="D34" s="28"/>
      <c r="E34" s="87"/>
      <c r="F34" s="69"/>
      <c r="G34" s="28"/>
      <c r="H34" s="76"/>
      <c r="I34" s="13"/>
      <c r="J34" s="14"/>
      <c r="K34" s="85"/>
      <c r="L34" s="14"/>
      <c r="M34" s="14"/>
      <c r="N34" s="184"/>
      <c r="O34" s="185"/>
    </row>
    <row r="35" spans="1:15" x14ac:dyDescent="0.25">
      <c r="A35" s="49"/>
      <c r="B35" s="63"/>
      <c r="C35" s="69"/>
      <c r="D35" s="28"/>
      <c r="E35" s="87"/>
      <c r="F35" s="69"/>
      <c r="G35" s="28"/>
      <c r="H35" s="76"/>
      <c r="I35" s="13"/>
      <c r="J35" s="14"/>
      <c r="K35" s="85"/>
      <c r="L35" s="14"/>
      <c r="M35" s="14"/>
      <c r="N35" s="184"/>
      <c r="O35" s="185"/>
    </row>
    <row r="36" spans="1:15" x14ac:dyDescent="0.25">
      <c r="A36" s="53">
        <v>8</v>
      </c>
      <c r="B36" s="293" t="s">
        <v>68</v>
      </c>
      <c r="C36" s="182" t="e">
        <f>NA()</f>
        <v>#N/A</v>
      </c>
      <c r="D36" s="38"/>
      <c r="E36" s="183" t="e">
        <f>NA()</f>
        <v>#N/A</v>
      </c>
      <c r="F36" s="68">
        <v>0</v>
      </c>
      <c r="G36" s="38">
        <v>200</v>
      </c>
      <c r="H36" s="75">
        <f>F36/5</f>
        <v>0</v>
      </c>
      <c r="I36" s="11">
        <v>6.3</v>
      </c>
      <c r="J36" s="19">
        <v>1.2766</v>
      </c>
      <c r="K36" s="86">
        <f>J36/40</f>
        <v>3.1914999999999999E-2</v>
      </c>
      <c r="L36" s="17">
        <f>H36*40/J36</f>
        <v>0</v>
      </c>
      <c r="M36" s="183" t="e">
        <f>NA()</f>
        <v>#N/A</v>
      </c>
      <c r="N36" s="186" t="e">
        <f>L36/E36</f>
        <v>#N/A</v>
      </c>
      <c r="O36" s="187" t="e">
        <f>L36/M36</f>
        <v>#N/A</v>
      </c>
    </row>
    <row r="37" spans="1:15" x14ac:dyDescent="0.25">
      <c r="A37" s="53"/>
      <c r="B37" s="52" t="s">
        <v>143</v>
      </c>
      <c r="C37" s="68"/>
      <c r="D37" s="38"/>
      <c r="E37" s="74"/>
      <c r="F37" s="68"/>
      <c r="G37" s="38"/>
      <c r="H37" s="75"/>
      <c r="I37" s="11"/>
      <c r="J37" s="19"/>
      <c r="K37" s="86"/>
      <c r="L37" s="17"/>
      <c r="M37" s="17"/>
      <c r="N37" s="186"/>
      <c r="O37" s="187"/>
    </row>
    <row r="38" spans="1:15" x14ac:dyDescent="0.25">
      <c r="A38" s="53"/>
      <c r="B38" s="52"/>
      <c r="C38" s="68"/>
      <c r="D38" s="38"/>
      <c r="E38" s="74"/>
      <c r="F38" s="68"/>
      <c r="G38" s="38"/>
      <c r="H38" s="75"/>
      <c r="I38" s="11"/>
      <c r="J38" s="19"/>
      <c r="K38" s="86"/>
      <c r="L38" s="17"/>
      <c r="M38" s="19"/>
      <c r="N38" s="186"/>
      <c r="O38" s="187"/>
    </row>
    <row r="39" spans="1:15" x14ac:dyDescent="0.25">
      <c r="A39" s="53"/>
      <c r="B39" s="52"/>
      <c r="C39" s="68"/>
      <c r="D39" s="38"/>
      <c r="E39" s="74"/>
      <c r="F39" s="68"/>
      <c r="G39" s="38"/>
      <c r="H39" s="75"/>
      <c r="I39" s="11"/>
      <c r="J39" s="19"/>
      <c r="K39" s="86"/>
      <c r="L39" s="17"/>
      <c r="M39" s="19"/>
      <c r="N39" s="186"/>
      <c r="O39" s="187"/>
    </row>
    <row r="40" spans="1:15" x14ac:dyDescent="0.25">
      <c r="A40" s="49">
        <v>9</v>
      </c>
      <c r="B40" s="63" t="s">
        <v>141</v>
      </c>
      <c r="C40" s="69">
        <v>2.2930000000000001</v>
      </c>
      <c r="D40" s="28">
        <v>1000</v>
      </c>
      <c r="E40" s="87">
        <f>C40</f>
        <v>2.2930000000000001</v>
      </c>
      <c r="F40" s="69">
        <v>1E-3</v>
      </c>
      <c r="G40" s="28">
        <v>200</v>
      </c>
      <c r="H40" s="76">
        <f>F40/5</f>
        <v>2.0000000000000001E-4</v>
      </c>
      <c r="I40" s="13">
        <v>7.3</v>
      </c>
      <c r="J40" s="14">
        <v>1.37558</v>
      </c>
      <c r="K40" s="85">
        <f>J40/40</f>
        <v>3.4389500000000003E-2</v>
      </c>
      <c r="L40" s="14">
        <f>H40*40/J40</f>
        <v>5.815728638101746E-3</v>
      </c>
      <c r="M40" s="14">
        <v>97.992000000000004</v>
      </c>
      <c r="N40" s="184">
        <f>L40/E40</f>
        <v>2.5362968330142808E-3</v>
      </c>
      <c r="O40" s="185">
        <f>L40/M40</f>
        <v>5.9349014594066309E-5</v>
      </c>
    </row>
    <row r="41" spans="1:15" x14ac:dyDescent="0.25">
      <c r="A41" s="49"/>
      <c r="B41" s="63" t="s">
        <v>57</v>
      </c>
      <c r="C41" s="69"/>
      <c r="D41" s="28"/>
      <c r="E41" s="87"/>
      <c r="F41" s="69"/>
      <c r="G41" s="28"/>
      <c r="H41" s="76"/>
      <c r="I41" s="13"/>
      <c r="J41" s="14"/>
      <c r="K41" s="85"/>
      <c r="L41" s="14"/>
      <c r="M41" s="14"/>
      <c r="N41" s="184"/>
      <c r="O41" s="185"/>
    </row>
    <row r="42" spans="1:15" x14ac:dyDescent="0.25">
      <c r="A42" s="49"/>
      <c r="B42" s="49"/>
      <c r="C42" s="69"/>
      <c r="D42" s="28"/>
      <c r="E42" s="87"/>
      <c r="F42" s="69"/>
      <c r="G42" s="28"/>
      <c r="H42" s="76"/>
      <c r="I42" s="13"/>
      <c r="J42" s="14"/>
      <c r="K42" s="85"/>
      <c r="L42" s="14"/>
      <c r="M42" s="14"/>
      <c r="N42" s="184"/>
      <c r="O42" s="185"/>
    </row>
    <row r="43" spans="1:15" x14ac:dyDescent="0.25">
      <c r="A43" s="49"/>
      <c r="B43" s="49"/>
      <c r="C43" s="69"/>
      <c r="D43" s="28"/>
      <c r="E43" s="87"/>
      <c r="F43" s="69"/>
      <c r="G43" s="28"/>
      <c r="H43" s="106"/>
      <c r="I43" s="13"/>
      <c r="J43" s="14"/>
      <c r="K43" s="85"/>
      <c r="L43" s="14"/>
      <c r="M43" s="14"/>
      <c r="N43" s="184"/>
      <c r="O43" s="185"/>
    </row>
    <row r="44" spans="1:15" x14ac:dyDescent="0.25">
      <c r="A44" s="53">
        <v>10</v>
      </c>
      <c r="B44" s="53" t="s">
        <v>68</v>
      </c>
      <c r="C44" s="182" t="e">
        <f>NA()</f>
        <v>#N/A</v>
      </c>
      <c r="D44" s="38"/>
      <c r="E44" s="183" t="e">
        <f>NA()</f>
        <v>#N/A</v>
      </c>
      <c r="F44" s="68">
        <v>8.9999999999999998E-4</v>
      </c>
      <c r="G44" s="38">
        <v>200</v>
      </c>
      <c r="H44" s="72">
        <f>F44/5</f>
        <v>1.7999999999999998E-4</v>
      </c>
      <c r="I44" s="11">
        <v>6.9</v>
      </c>
      <c r="J44" s="19">
        <v>1.3366</v>
      </c>
      <c r="K44" s="84">
        <f>J44/40</f>
        <v>3.3415E-2</v>
      </c>
      <c r="L44" s="17">
        <f>H44*40/J44</f>
        <v>5.3868023342810113E-3</v>
      </c>
      <c r="M44" s="183" t="e">
        <f>NA()</f>
        <v>#N/A</v>
      </c>
      <c r="N44" s="188" t="e">
        <f>L44/E44</f>
        <v>#N/A</v>
      </c>
      <c r="O44" s="189" t="e">
        <f>L44/M44</f>
        <v>#N/A</v>
      </c>
    </row>
    <row r="45" spans="1:15" x14ac:dyDescent="0.25">
      <c r="A45" s="53"/>
      <c r="B45" s="53" t="s">
        <v>202</v>
      </c>
      <c r="C45" s="68"/>
      <c r="D45" s="38"/>
      <c r="E45" s="74"/>
      <c r="F45" s="68"/>
      <c r="G45" s="38"/>
      <c r="H45" s="72"/>
      <c r="I45" s="11"/>
      <c r="J45" s="19"/>
      <c r="K45" s="84"/>
      <c r="L45" s="17"/>
      <c r="M45" s="19"/>
      <c r="N45" s="188"/>
      <c r="O45" s="189"/>
    </row>
    <row r="46" spans="1:15" x14ac:dyDescent="0.25">
      <c r="A46" s="53"/>
      <c r="B46" s="53"/>
      <c r="C46" s="68"/>
      <c r="D46" s="38"/>
      <c r="E46" s="74"/>
      <c r="F46" s="68"/>
      <c r="G46" s="38"/>
      <c r="H46" s="72"/>
      <c r="I46" s="11"/>
      <c r="J46" s="19"/>
      <c r="K46" s="84"/>
      <c r="L46" s="17"/>
      <c r="M46" s="19"/>
      <c r="N46" s="188"/>
      <c r="O46" s="189"/>
    </row>
    <row r="47" spans="1:15" x14ac:dyDescent="0.25">
      <c r="A47" s="53"/>
      <c r="B47" s="53"/>
      <c r="C47" s="68"/>
      <c r="D47" s="38"/>
      <c r="E47" s="74"/>
      <c r="F47" s="68"/>
      <c r="G47" s="38"/>
      <c r="H47" s="72"/>
      <c r="I47" s="11"/>
      <c r="J47" s="19"/>
      <c r="K47" s="84"/>
      <c r="L47" s="17"/>
      <c r="M47" s="19"/>
      <c r="N47" s="188"/>
      <c r="O47" s="189"/>
    </row>
    <row r="48" spans="1:15" x14ac:dyDescent="0.25">
      <c r="A48" s="49">
        <v>11</v>
      </c>
      <c r="B48" s="49" t="s">
        <v>68</v>
      </c>
      <c r="C48" s="69" t="e">
        <f>NA()</f>
        <v>#N/A</v>
      </c>
      <c r="D48" s="14"/>
      <c r="E48" s="76" t="e">
        <f>NA()</f>
        <v>#N/A</v>
      </c>
      <c r="F48" s="69">
        <v>0</v>
      </c>
      <c r="G48" s="14">
        <v>200</v>
      </c>
      <c r="H48" s="106">
        <f>F48/5</f>
        <v>0</v>
      </c>
      <c r="I48" s="13">
        <v>9</v>
      </c>
      <c r="J48" s="14">
        <v>1.5046999999999999</v>
      </c>
      <c r="K48" s="85">
        <f>J48/40</f>
        <v>3.7617499999999998E-2</v>
      </c>
      <c r="L48" s="14">
        <f>H48*40/J48</f>
        <v>0</v>
      </c>
      <c r="M48" s="76" t="e">
        <f>NA()</f>
        <v>#N/A</v>
      </c>
      <c r="N48" s="184" t="e">
        <f>L48/E48</f>
        <v>#N/A</v>
      </c>
      <c r="O48" s="185" t="e">
        <f>L48/M48</f>
        <v>#N/A</v>
      </c>
    </row>
    <row r="49" spans="1:15" x14ac:dyDescent="0.25">
      <c r="A49" s="49"/>
      <c r="B49" s="49" t="s">
        <v>200</v>
      </c>
      <c r="C49" s="69"/>
      <c r="D49" s="14"/>
      <c r="E49" s="23"/>
      <c r="F49" s="69"/>
      <c r="G49" s="14"/>
      <c r="H49" s="106"/>
      <c r="I49" s="13"/>
      <c r="J49" s="14"/>
      <c r="K49" s="85"/>
      <c r="L49" s="14"/>
      <c r="M49" s="14"/>
      <c r="N49" s="184"/>
      <c r="O49" s="185"/>
    </row>
    <row r="50" spans="1:15" x14ac:dyDescent="0.25">
      <c r="A50" s="49"/>
      <c r="B50" s="49"/>
      <c r="C50" s="69"/>
      <c r="D50" s="14"/>
      <c r="E50" s="23"/>
      <c r="F50" s="69"/>
      <c r="G50" s="14"/>
      <c r="H50" s="106"/>
      <c r="I50" s="13"/>
      <c r="J50" s="14"/>
      <c r="K50" s="85"/>
      <c r="L50" s="14"/>
      <c r="M50" s="14"/>
      <c r="N50" s="184"/>
      <c r="O50" s="185"/>
    </row>
    <row r="51" spans="1:15" x14ac:dyDescent="0.25">
      <c r="A51" s="49"/>
      <c r="B51" s="49"/>
      <c r="C51" s="69"/>
      <c r="D51" s="14"/>
      <c r="E51" s="23"/>
      <c r="F51" s="69"/>
      <c r="G51" s="14"/>
      <c r="H51" s="106"/>
      <c r="I51" s="13"/>
      <c r="J51" s="14"/>
      <c r="K51" s="85"/>
      <c r="L51" s="14"/>
      <c r="M51" s="14"/>
      <c r="N51" s="184"/>
      <c r="O51" s="185"/>
    </row>
    <row r="52" spans="1:15" x14ac:dyDescent="0.25">
      <c r="A52" s="48">
        <v>12</v>
      </c>
      <c r="B52" s="48" t="s">
        <v>201</v>
      </c>
      <c r="C52" s="109">
        <v>0.26369999999999999</v>
      </c>
      <c r="D52" s="19">
        <v>1000</v>
      </c>
      <c r="E52" s="181">
        <f>C52</f>
        <v>0.26369999999999999</v>
      </c>
      <c r="F52" s="109">
        <v>1E-3</v>
      </c>
      <c r="G52" s="19">
        <v>200</v>
      </c>
      <c r="H52" s="72">
        <f>F52/5</f>
        <v>2.0000000000000001E-4</v>
      </c>
      <c r="I52" s="11">
        <v>6.9</v>
      </c>
      <c r="J52" s="19">
        <v>1.3366</v>
      </c>
      <c r="K52" s="84">
        <f>J52/40</f>
        <v>3.3415E-2</v>
      </c>
      <c r="L52" s="17">
        <f>H52*40/J52</f>
        <v>5.9853359269789021E-3</v>
      </c>
      <c r="M52" s="19">
        <v>70.327680069628002</v>
      </c>
      <c r="N52" s="188">
        <f>L52/E52</f>
        <v>2.2697519632077747E-2</v>
      </c>
      <c r="O52" s="189">
        <f>L52/M52</f>
        <v>8.5106403638696924E-5</v>
      </c>
    </row>
    <row r="53" spans="1:15" x14ac:dyDescent="0.25">
      <c r="A53" s="48"/>
      <c r="B53" s="48" t="s">
        <v>198</v>
      </c>
      <c r="C53" s="109"/>
      <c r="D53" s="19"/>
      <c r="E53" s="25"/>
      <c r="F53" s="109"/>
      <c r="G53" s="19"/>
      <c r="H53" s="72"/>
      <c r="I53" s="11"/>
      <c r="J53" s="19"/>
      <c r="K53" s="84"/>
      <c r="L53" s="17"/>
      <c r="M53" s="19"/>
      <c r="N53" s="188"/>
      <c r="O53" s="189"/>
    </row>
    <row r="54" spans="1:15" x14ac:dyDescent="0.25">
      <c r="A54" s="48"/>
      <c r="B54" s="48"/>
      <c r="C54" s="109"/>
      <c r="D54" s="19"/>
      <c r="E54" s="25"/>
      <c r="F54" s="109"/>
      <c r="G54" s="19"/>
      <c r="H54" s="72"/>
      <c r="I54" s="11"/>
      <c r="J54" s="19"/>
      <c r="K54" s="84"/>
      <c r="L54" s="17"/>
      <c r="M54" s="19"/>
      <c r="N54" s="188"/>
      <c r="O54" s="189"/>
    </row>
    <row r="55" spans="1:15" x14ac:dyDescent="0.25">
      <c r="A55" s="48"/>
      <c r="B55" s="48"/>
      <c r="C55" s="282"/>
      <c r="D55" s="19"/>
      <c r="E55" s="25"/>
      <c r="F55" s="109"/>
      <c r="G55" s="19"/>
      <c r="H55" s="72"/>
      <c r="I55" s="11"/>
      <c r="J55" s="19"/>
      <c r="K55" s="84"/>
      <c r="L55" s="17"/>
      <c r="M55" s="19"/>
      <c r="N55" s="188"/>
      <c r="O55" s="189"/>
    </row>
    <row r="56" spans="1:15" x14ac:dyDescent="0.25">
      <c r="A56" s="49">
        <v>13</v>
      </c>
      <c r="B56" s="49" t="s">
        <v>68</v>
      </c>
      <c r="C56" s="69" t="e">
        <f>NA()</f>
        <v>#N/A</v>
      </c>
      <c r="D56" s="14"/>
      <c r="E56" s="76" t="e">
        <f>NA()</f>
        <v>#N/A</v>
      </c>
      <c r="F56" s="69">
        <v>0</v>
      </c>
      <c r="G56" s="14">
        <v>200</v>
      </c>
      <c r="H56" s="106">
        <f>F56/5</f>
        <v>0</v>
      </c>
      <c r="I56" s="13">
        <v>6.8</v>
      </c>
      <c r="J56" s="14">
        <v>1.3270999999999999</v>
      </c>
      <c r="K56" s="85">
        <f>J56/40</f>
        <v>3.3177499999999999E-2</v>
      </c>
      <c r="L56" s="14">
        <f>H56*40/J56</f>
        <v>0</v>
      </c>
      <c r="M56" s="76" t="e">
        <f>NA()</f>
        <v>#N/A</v>
      </c>
      <c r="N56" s="184" t="e">
        <f>L56/E56</f>
        <v>#N/A</v>
      </c>
      <c r="O56" s="185" t="e">
        <f>L56/M56</f>
        <v>#N/A</v>
      </c>
    </row>
    <row r="57" spans="1:15" x14ac:dyDescent="0.25">
      <c r="A57" s="49"/>
      <c r="B57" s="49" t="s">
        <v>228</v>
      </c>
      <c r="C57" s="69"/>
      <c r="D57" s="14"/>
      <c r="E57" s="14"/>
      <c r="F57" s="69"/>
      <c r="G57" s="14"/>
      <c r="H57" s="106"/>
      <c r="I57" s="13"/>
      <c r="J57" s="14"/>
      <c r="K57" s="85"/>
      <c r="L57" s="14"/>
      <c r="M57" s="14"/>
      <c r="N57" s="184"/>
      <c r="O57" s="185"/>
    </row>
    <row r="58" spans="1:15" x14ac:dyDescent="0.25">
      <c r="A58" s="49"/>
      <c r="B58" s="49"/>
      <c r="C58" s="69"/>
      <c r="D58" s="14"/>
      <c r="E58" s="14"/>
      <c r="F58" s="69"/>
      <c r="G58" s="14"/>
      <c r="H58" s="106"/>
      <c r="I58" s="13"/>
      <c r="J58" s="14"/>
      <c r="K58" s="85"/>
      <c r="L58" s="14"/>
      <c r="M58" s="14"/>
      <c r="N58" s="184"/>
      <c r="O58" s="185"/>
    </row>
    <row r="59" spans="1:15" x14ac:dyDescent="0.25">
      <c r="A59" s="49"/>
      <c r="B59" s="49"/>
      <c r="C59" s="69"/>
      <c r="D59" s="14"/>
      <c r="E59" s="14"/>
      <c r="F59" s="69"/>
      <c r="G59" s="14"/>
      <c r="H59" s="106"/>
      <c r="I59" s="13"/>
      <c r="J59" s="14"/>
      <c r="K59" s="85"/>
      <c r="L59" s="14"/>
      <c r="M59" s="14"/>
      <c r="N59" s="184"/>
      <c r="O59" s="185"/>
    </row>
    <row r="60" spans="1:15" x14ac:dyDescent="0.25">
      <c r="A60" s="48">
        <v>14</v>
      </c>
      <c r="B60" s="48" t="s">
        <v>229</v>
      </c>
      <c r="C60" s="109">
        <v>0.25390000000000001</v>
      </c>
      <c r="D60" s="19">
        <v>1000</v>
      </c>
      <c r="E60" s="110">
        <f>C60</f>
        <v>0.25390000000000001</v>
      </c>
      <c r="F60" s="109">
        <v>1E-3</v>
      </c>
      <c r="G60" s="19">
        <v>200</v>
      </c>
      <c r="H60" s="72">
        <f>F60/5</f>
        <v>2.0000000000000001E-4</v>
      </c>
      <c r="I60" s="11">
        <v>6.9</v>
      </c>
      <c r="J60" s="19">
        <v>1.3366</v>
      </c>
      <c r="K60" s="84">
        <f>J60/40</f>
        <v>3.3415E-2</v>
      </c>
      <c r="L60" s="17">
        <f>H60*40/J60</f>
        <v>5.9853359269789021E-3</v>
      </c>
      <c r="M60" s="19">
        <v>69.84748661019573</v>
      </c>
      <c r="N60" s="188">
        <f>L60/E60</f>
        <v>2.3573595616301308E-2</v>
      </c>
      <c r="O60" s="189">
        <f>L60/M60</f>
        <v>8.5691500402610262E-5</v>
      </c>
    </row>
    <row r="61" spans="1:15" x14ac:dyDescent="0.25">
      <c r="A61" s="48"/>
      <c r="B61" s="48" t="s">
        <v>198</v>
      </c>
      <c r="C61" s="109"/>
      <c r="D61" s="19"/>
      <c r="E61" s="19"/>
      <c r="F61" s="109"/>
      <c r="G61" s="19"/>
      <c r="H61" s="110"/>
      <c r="I61" s="11"/>
      <c r="J61" s="19"/>
      <c r="K61" s="84"/>
      <c r="L61" s="19"/>
      <c r="M61" s="19"/>
      <c r="N61" s="186"/>
      <c r="O61" s="187"/>
    </row>
    <row r="62" spans="1:15" x14ac:dyDescent="0.25">
      <c r="A62" s="48"/>
      <c r="B62" s="48"/>
      <c r="C62" s="109"/>
      <c r="D62" s="19"/>
      <c r="E62" s="19"/>
      <c r="F62" s="109"/>
      <c r="G62" s="19"/>
      <c r="H62" s="110"/>
      <c r="I62" s="11"/>
      <c r="J62" s="19"/>
      <c r="K62" s="84"/>
      <c r="L62" s="19"/>
      <c r="M62" s="19"/>
      <c r="N62" s="186"/>
      <c r="O62" s="187"/>
    </row>
    <row r="63" spans="1:15" ht="13.8" thickBot="1" x14ac:dyDescent="0.3">
      <c r="A63" s="107"/>
      <c r="B63" s="107"/>
      <c r="C63" s="111"/>
      <c r="D63" s="56"/>
      <c r="E63" s="56"/>
      <c r="F63" s="111"/>
      <c r="G63" s="56"/>
      <c r="H63" s="112"/>
      <c r="I63" s="65"/>
      <c r="J63" s="56"/>
      <c r="K63" s="108"/>
      <c r="L63" s="56"/>
      <c r="M63" s="56"/>
      <c r="N63" s="190"/>
      <c r="O63" s="191"/>
    </row>
  </sheetData>
  <pageMargins left="0.75" right="0.75" top="0.64" bottom="1" header="0.5" footer="0.5"/>
  <pageSetup scale="5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264"/>
  <sheetViews>
    <sheetView tabSelected="1" topLeftCell="A96" zoomScale="50" zoomScaleNormal="75" zoomScaleSheetLayoutView="75" workbookViewId="0">
      <selection activeCell="L100" sqref="L100"/>
    </sheetView>
  </sheetViews>
  <sheetFormatPr defaultRowHeight="13.2" x14ac:dyDescent="0.25"/>
  <cols>
    <col min="2" max="2" width="7" style="18" customWidth="1"/>
    <col min="3" max="3" width="9.109375" style="18" customWidth="1"/>
    <col min="4" max="4" width="8.88671875" style="18" bestFit="1" customWidth="1"/>
    <col min="5" max="5" width="8.88671875" style="18" customWidth="1"/>
    <col min="6" max="6" width="8.88671875" style="244" customWidth="1"/>
    <col min="7" max="7" width="9.109375" style="17" customWidth="1"/>
    <col min="8" max="9" width="9.109375" style="38" customWidth="1"/>
    <col min="10" max="10" width="9.109375" style="42" customWidth="1"/>
    <col min="11" max="11" width="9.109375" style="192" customWidth="1"/>
    <col min="12" max="12" width="10.5546875" style="239" bestFit="1" customWidth="1"/>
    <col min="13" max="13" width="13.33203125" style="1" customWidth="1"/>
    <col min="14" max="14" width="29.88671875" bestFit="1" customWidth="1"/>
    <col min="15" max="15" width="10.44140625" style="192" customWidth="1"/>
    <col min="16" max="16" width="7.6640625" style="1" customWidth="1"/>
    <col min="19" max="19" width="8.109375" customWidth="1"/>
    <col min="20" max="20" width="12.44140625" bestFit="1" customWidth="1"/>
    <col min="26" max="26" width="16.33203125" customWidth="1"/>
  </cols>
  <sheetData>
    <row r="1" spans="1:16" ht="21" x14ac:dyDescent="0.4">
      <c r="A1" s="143" t="s">
        <v>227</v>
      </c>
    </row>
    <row r="2" spans="1:16" ht="17.399999999999999" x14ac:dyDescent="0.3">
      <c r="A2" s="105" t="s">
        <v>253</v>
      </c>
      <c r="C2" s="17"/>
      <c r="D2" s="17"/>
      <c r="E2" s="17"/>
      <c r="F2" s="245"/>
    </row>
    <row r="3" spans="1:16" x14ac:dyDescent="0.25">
      <c r="A3" s="138" t="s">
        <v>254</v>
      </c>
      <c r="C3" s="17"/>
      <c r="D3" s="17"/>
      <c r="E3" s="17"/>
      <c r="F3" s="245"/>
      <c r="L3" s="240" t="s">
        <v>325</v>
      </c>
      <c r="N3" s="138" t="s">
        <v>254</v>
      </c>
    </row>
    <row r="4" spans="1:16" x14ac:dyDescent="0.25">
      <c r="C4" s="17"/>
      <c r="D4" s="17"/>
      <c r="E4" s="17"/>
      <c r="F4" s="245"/>
      <c r="L4" s="240" t="s">
        <v>326</v>
      </c>
    </row>
    <row r="5" spans="1:16" x14ac:dyDescent="0.25">
      <c r="B5" s="99" t="s">
        <v>21</v>
      </c>
      <c r="C5" s="99" t="s">
        <v>58</v>
      </c>
      <c r="D5" s="99" t="s">
        <v>59</v>
      </c>
      <c r="E5" s="99" t="s">
        <v>60</v>
      </c>
      <c r="F5" s="246" t="s">
        <v>191</v>
      </c>
      <c r="G5" s="99" t="s">
        <v>182</v>
      </c>
      <c r="H5" s="464" t="s">
        <v>30</v>
      </c>
      <c r="I5" s="464"/>
      <c r="J5" s="464"/>
      <c r="K5" s="101" t="s">
        <v>181</v>
      </c>
      <c r="L5" s="241" t="s">
        <v>181</v>
      </c>
      <c r="M5" s="99"/>
      <c r="N5" s="294" t="s">
        <v>258</v>
      </c>
      <c r="O5" s="5">
        <f>AVERAGE(J9:J26)</f>
        <v>8.4457833370422168</v>
      </c>
      <c r="P5" s="1" t="s">
        <v>301</v>
      </c>
    </row>
    <row r="6" spans="1:16" x14ac:dyDescent="0.25">
      <c r="B6" s="99"/>
      <c r="C6" s="99"/>
      <c r="D6" s="99"/>
      <c r="E6" s="99"/>
      <c r="F6" s="246" t="s">
        <v>192</v>
      </c>
      <c r="G6" s="99" t="s">
        <v>183</v>
      </c>
      <c r="H6" s="94" t="s">
        <v>9</v>
      </c>
      <c r="I6" s="94" t="s">
        <v>15</v>
      </c>
      <c r="J6" s="252" t="s">
        <v>20</v>
      </c>
      <c r="K6" s="250" t="s">
        <v>20</v>
      </c>
      <c r="L6" s="240" t="s">
        <v>20</v>
      </c>
      <c r="N6" s="138" t="s">
        <v>261</v>
      </c>
      <c r="O6" s="5">
        <f>STDEV(J9:J26)</f>
        <v>1.8396616967645227</v>
      </c>
    </row>
    <row r="7" spans="1:16" s="66" customFormat="1" x14ac:dyDescent="0.25">
      <c r="B7" s="92"/>
      <c r="C7" s="92" t="s">
        <v>74</v>
      </c>
      <c r="D7" s="92" t="s">
        <v>75</v>
      </c>
      <c r="E7" s="92" t="s">
        <v>76</v>
      </c>
      <c r="F7" s="247"/>
      <c r="G7" s="92" t="s">
        <v>246</v>
      </c>
      <c r="H7" s="95" t="s">
        <v>1</v>
      </c>
      <c r="I7" s="95"/>
      <c r="J7" s="253"/>
      <c r="K7" s="193"/>
      <c r="L7" s="487" t="s">
        <v>327</v>
      </c>
      <c r="N7" s="138" t="s">
        <v>273</v>
      </c>
      <c r="O7" s="232">
        <f>1-(O5-O6)/O5</f>
        <v>0.21782013856500226</v>
      </c>
    </row>
    <row r="8" spans="1:16" s="66" customFormat="1" x14ac:dyDescent="0.25">
      <c r="B8" s="92"/>
      <c r="C8" s="92"/>
      <c r="D8" s="92"/>
      <c r="E8" s="92"/>
      <c r="F8" s="247"/>
      <c r="G8" s="92"/>
      <c r="H8" s="95"/>
      <c r="I8" s="95"/>
      <c r="J8" s="253"/>
      <c r="K8" s="193"/>
      <c r="L8" s="242"/>
      <c r="N8" s="138" t="s">
        <v>260</v>
      </c>
      <c r="O8" s="231">
        <v>18</v>
      </c>
      <c r="P8" s="1"/>
    </row>
    <row r="9" spans="1:16" s="66" customFormat="1" x14ac:dyDescent="0.25">
      <c r="B9" s="17">
        <v>5</v>
      </c>
      <c r="C9" s="17">
        <v>24</v>
      </c>
      <c r="D9" s="17">
        <v>225</v>
      </c>
      <c r="E9" s="17">
        <v>29.62</v>
      </c>
      <c r="F9" s="248">
        <f>C9*D9</f>
        <v>5400</v>
      </c>
      <c r="G9" s="42">
        <v>302.32950708980417</v>
      </c>
      <c r="H9" s="38">
        <v>0.45172180958811403</v>
      </c>
      <c r="I9" s="38">
        <v>0.74028764191695517</v>
      </c>
      <c r="J9" s="42">
        <v>7.4028764191695515</v>
      </c>
      <c r="K9" s="193"/>
      <c r="L9" s="242"/>
      <c r="N9" s="138"/>
      <c r="O9" s="488" t="s">
        <v>327</v>
      </c>
      <c r="P9" s="1"/>
    </row>
    <row r="10" spans="1:16" x14ac:dyDescent="0.25">
      <c r="B10" s="17">
        <v>8</v>
      </c>
      <c r="C10" s="17">
        <v>26</v>
      </c>
      <c r="D10" s="17">
        <v>225</v>
      </c>
      <c r="E10" s="17">
        <v>28.5</v>
      </c>
      <c r="F10" s="248">
        <f t="shared" ref="F10:F26" si="0">C10*D10</f>
        <v>5850</v>
      </c>
      <c r="G10" s="42">
        <v>298.94736842105266</v>
      </c>
      <c r="H10" s="38">
        <v>0.58947368421053248</v>
      </c>
      <c r="I10" s="38">
        <v>0.97696648000094799</v>
      </c>
      <c r="J10" s="42">
        <v>9.7696648000094797</v>
      </c>
      <c r="N10" s="138" t="s">
        <v>259</v>
      </c>
      <c r="O10" s="192">
        <f>AVERAGE(L18:L20,L23)</f>
        <v>1.546047007444824E-4</v>
      </c>
      <c r="P10" s="1" t="s">
        <v>301</v>
      </c>
    </row>
    <row r="11" spans="1:16" x14ac:dyDescent="0.25">
      <c r="B11" s="17">
        <v>9</v>
      </c>
      <c r="C11" s="17">
        <v>28</v>
      </c>
      <c r="D11" s="17">
        <v>225</v>
      </c>
      <c r="E11" s="17">
        <v>25.44</v>
      </c>
      <c r="F11" s="248">
        <f t="shared" si="0"/>
        <v>6300</v>
      </c>
      <c r="G11" s="42">
        <v>301.88679245283015</v>
      </c>
      <c r="H11" s="38">
        <v>0.6839622641509413</v>
      </c>
      <c r="I11" s="38">
        <v>1.1225301240635743</v>
      </c>
      <c r="J11" s="42">
        <v>11.225301240635742</v>
      </c>
      <c r="N11" s="138" t="s">
        <v>261</v>
      </c>
      <c r="O11" s="390">
        <f>STDEV(L18:L26)</f>
        <v>2.4106410803295507E-5</v>
      </c>
      <c r="P11" s="66"/>
    </row>
    <row r="12" spans="1:16" x14ac:dyDescent="0.25">
      <c r="B12" s="17">
        <v>10</v>
      </c>
      <c r="C12" s="17">
        <v>27</v>
      </c>
      <c r="D12" s="17">
        <v>280</v>
      </c>
      <c r="E12" s="17">
        <v>21.72</v>
      </c>
      <c r="F12" s="248">
        <f t="shared" si="0"/>
        <v>7560</v>
      </c>
      <c r="G12" s="42">
        <v>488.95027624309392</v>
      </c>
      <c r="H12" s="38">
        <v>0.84806629834253278</v>
      </c>
      <c r="I12" s="38">
        <v>0.8593599017183301</v>
      </c>
      <c r="J12" s="42">
        <v>8.5935990171833012</v>
      </c>
      <c r="N12" s="138" t="s">
        <v>273</v>
      </c>
      <c r="O12" s="137">
        <f>1-(O10-O11)/O10</f>
        <v>0.1559228838917166</v>
      </c>
    </row>
    <row r="13" spans="1:16" x14ac:dyDescent="0.25">
      <c r="B13" s="17">
        <v>11</v>
      </c>
      <c r="C13" s="17">
        <v>27</v>
      </c>
      <c r="D13" s="17">
        <v>300</v>
      </c>
      <c r="E13" s="17">
        <v>20.149999999999999</v>
      </c>
      <c r="F13" s="248">
        <f t="shared" si="0"/>
        <v>8100</v>
      </c>
      <c r="G13" s="42">
        <v>521.09181141439205</v>
      </c>
      <c r="H13" s="38">
        <v>0.84267990074441534</v>
      </c>
      <c r="I13" s="38">
        <v>0.80123214214933913</v>
      </c>
      <c r="J13" s="42">
        <v>8.0123214214933913</v>
      </c>
      <c r="N13" s="142" t="s">
        <v>260</v>
      </c>
      <c r="O13" s="231">
        <v>4</v>
      </c>
    </row>
    <row r="14" spans="1:16" x14ac:dyDescent="0.25">
      <c r="B14" s="17">
        <v>13</v>
      </c>
      <c r="C14" s="17">
        <v>27</v>
      </c>
      <c r="D14" s="17">
        <v>295</v>
      </c>
      <c r="E14" s="17">
        <v>11.66</v>
      </c>
      <c r="F14" s="248">
        <f t="shared" si="0"/>
        <v>7965</v>
      </c>
      <c r="G14" s="42">
        <v>406.5180102915952</v>
      </c>
      <c r="H14" s="38">
        <v>0.65351629502572328</v>
      </c>
      <c r="I14" s="38">
        <v>0.79650151448177031</v>
      </c>
      <c r="J14" s="42">
        <v>7.9650151448177029</v>
      </c>
      <c r="N14" s="100"/>
    </row>
    <row r="15" spans="1:16" x14ac:dyDescent="0.25">
      <c r="B15" s="17">
        <v>16</v>
      </c>
      <c r="C15" s="17">
        <v>27</v>
      </c>
      <c r="D15" s="17">
        <v>225</v>
      </c>
      <c r="E15" s="17">
        <v>29.5</v>
      </c>
      <c r="F15" s="248">
        <f t="shared" si="0"/>
        <v>6075</v>
      </c>
      <c r="G15" s="42">
        <v>281.94915254237287</v>
      </c>
      <c r="H15" s="38">
        <v>0.68338983050847157</v>
      </c>
      <c r="I15" s="38">
        <v>1.2009023494474955</v>
      </c>
      <c r="J15" s="42">
        <v>12.009023494474956</v>
      </c>
      <c r="N15" s="17"/>
    </row>
    <row r="16" spans="1:16" x14ac:dyDescent="0.25">
      <c r="B16" s="17">
        <v>17</v>
      </c>
      <c r="C16" s="17">
        <v>24</v>
      </c>
      <c r="D16" s="17">
        <v>225</v>
      </c>
      <c r="E16" s="17">
        <v>30.56</v>
      </c>
      <c r="F16" s="248">
        <f t="shared" si="0"/>
        <v>5400</v>
      </c>
      <c r="G16" s="42">
        <v>292.5392670157068</v>
      </c>
      <c r="H16" s="38">
        <v>0.42015706806282455</v>
      </c>
      <c r="I16" s="38">
        <v>0.71160252622886644</v>
      </c>
      <c r="J16" s="42">
        <v>7.1160252622886642</v>
      </c>
      <c r="N16" s="17"/>
    </row>
    <row r="17" spans="1:16" x14ac:dyDescent="0.25">
      <c r="B17" s="17">
        <v>18</v>
      </c>
      <c r="C17" s="17">
        <v>24</v>
      </c>
      <c r="D17" s="17">
        <v>210</v>
      </c>
      <c r="E17" s="17">
        <v>30.6</v>
      </c>
      <c r="F17" s="248">
        <f t="shared" si="0"/>
        <v>5040</v>
      </c>
      <c r="G17" s="42">
        <v>287.5</v>
      </c>
      <c r="H17" s="38">
        <v>0.42352941176470799</v>
      </c>
      <c r="I17" s="38">
        <v>0.66940785308617745</v>
      </c>
      <c r="J17" s="42">
        <v>6.6940785308617743</v>
      </c>
      <c r="N17" s="17"/>
    </row>
    <row r="18" spans="1:16" x14ac:dyDescent="0.25">
      <c r="B18" s="17">
        <v>28</v>
      </c>
      <c r="C18" s="17">
        <v>24</v>
      </c>
      <c r="D18" s="17">
        <v>225</v>
      </c>
      <c r="E18" s="17">
        <v>60.21</v>
      </c>
      <c r="F18" s="248">
        <f t="shared" si="0"/>
        <v>5400</v>
      </c>
      <c r="G18" s="42">
        <v>379.60309120342572</v>
      </c>
      <c r="H18" s="38">
        <v>0.47433981066267972</v>
      </c>
      <c r="I18" s="38">
        <v>0.61911284101581709</v>
      </c>
      <c r="J18" s="42">
        <v>6.1911284101581714</v>
      </c>
      <c r="K18" s="72">
        <v>1.508762385668801E-3</v>
      </c>
      <c r="L18" s="239">
        <v>1.846933265215256E-4</v>
      </c>
      <c r="N18" s="17"/>
    </row>
    <row r="19" spans="1:16" x14ac:dyDescent="0.25">
      <c r="B19" s="17">
        <v>29</v>
      </c>
      <c r="C19" s="17">
        <v>26</v>
      </c>
      <c r="D19" s="17">
        <v>230</v>
      </c>
      <c r="E19" s="17">
        <v>80.25</v>
      </c>
      <c r="F19" s="248">
        <f t="shared" si="0"/>
        <v>5980</v>
      </c>
      <c r="G19" s="42">
        <v>276.89816822429918</v>
      </c>
      <c r="H19" s="38">
        <v>0.52112149532710217</v>
      </c>
      <c r="I19" s="38">
        <v>0.93245714456606721</v>
      </c>
      <c r="J19" s="42">
        <v>9.3245714456606734</v>
      </c>
      <c r="K19" s="72">
        <v>2.1739495838161565E-3</v>
      </c>
      <c r="L19" s="179">
        <v>1.5786218516326554E-4</v>
      </c>
      <c r="N19" s="17"/>
    </row>
    <row r="20" spans="1:16" x14ac:dyDescent="0.25">
      <c r="B20" s="17">
        <v>30</v>
      </c>
      <c r="C20" s="17">
        <v>28</v>
      </c>
      <c r="D20" s="17">
        <v>225</v>
      </c>
      <c r="E20" s="17">
        <v>63</v>
      </c>
      <c r="F20" s="248">
        <f t="shared" si="0"/>
        <v>6300</v>
      </c>
      <c r="G20" s="42">
        <v>277.60380664760663</v>
      </c>
      <c r="H20" s="38">
        <v>0.61142857142856755</v>
      </c>
      <c r="I20" s="38">
        <v>1.0912651552741774</v>
      </c>
      <c r="J20" s="42">
        <v>10.912651552741774</v>
      </c>
      <c r="K20" s="72">
        <v>4.2375763739852662E-3</v>
      </c>
      <c r="L20" s="179">
        <v>1.4958151661079161E-4</v>
      </c>
      <c r="N20" s="17"/>
    </row>
    <row r="21" spans="1:16" x14ac:dyDescent="0.25">
      <c r="B21" s="17">
        <v>33</v>
      </c>
      <c r="C21" s="17">
        <v>24</v>
      </c>
      <c r="D21" s="17">
        <v>225</v>
      </c>
      <c r="E21" s="17">
        <v>85</v>
      </c>
      <c r="F21" s="248">
        <f t="shared" si="0"/>
        <v>5400</v>
      </c>
      <c r="G21" s="42">
        <v>276.35136853450678</v>
      </c>
      <c r="H21" s="38">
        <v>0.3430588235294097</v>
      </c>
      <c r="I21" s="38">
        <v>0.61505924467058093</v>
      </c>
      <c r="J21" s="42">
        <v>6.1505924467058097</v>
      </c>
      <c r="N21" s="17"/>
    </row>
    <row r="22" spans="1:16" x14ac:dyDescent="0.25">
      <c r="B22" s="17">
        <v>34</v>
      </c>
      <c r="C22" s="17">
        <v>24</v>
      </c>
      <c r="D22" s="17">
        <v>225</v>
      </c>
      <c r="E22" s="17">
        <v>84</v>
      </c>
      <c r="F22" s="248">
        <f t="shared" si="0"/>
        <v>5400</v>
      </c>
      <c r="G22" s="42">
        <v>289.68545290178571</v>
      </c>
      <c r="H22" s="38">
        <v>0.42857142857142705</v>
      </c>
      <c r="I22" s="38">
        <v>0.73300426924261297</v>
      </c>
      <c r="J22" s="42">
        <v>7.3300426924261295</v>
      </c>
      <c r="N22" s="17"/>
    </row>
    <row r="23" spans="1:16" x14ac:dyDescent="0.25">
      <c r="B23" s="17">
        <v>37</v>
      </c>
      <c r="C23" s="17">
        <v>28</v>
      </c>
      <c r="D23" s="17">
        <v>207</v>
      </c>
      <c r="E23" s="17">
        <v>62.1</v>
      </c>
      <c r="F23" s="248">
        <f t="shared" si="0"/>
        <v>5796</v>
      </c>
      <c r="G23" s="42">
        <v>304.75256858896938</v>
      </c>
      <c r="H23" s="38">
        <v>0.64347826086956561</v>
      </c>
      <c r="I23" s="38">
        <v>1.0646033156764936</v>
      </c>
      <c r="J23" s="42">
        <v>10.646033156764936</v>
      </c>
      <c r="K23" s="193">
        <v>9.7189011401097279E-3</v>
      </c>
      <c r="L23" s="239">
        <v>1.2628177468234679E-4</v>
      </c>
      <c r="N23" s="17"/>
    </row>
    <row r="24" spans="1:16" x14ac:dyDescent="0.25">
      <c r="B24" s="17">
        <v>38</v>
      </c>
      <c r="C24" s="17">
        <v>26.1</v>
      </c>
      <c r="D24" s="17">
        <v>218</v>
      </c>
      <c r="E24" s="17">
        <v>76.28</v>
      </c>
      <c r="F24" s="248">
        <f t="shared" si="0"/>
        <v>5689.8</v>
      </c>
      <c r="G24" s="42">
        <v>301.91161764223909</v>
      </c>
      <c r="H24" s="38">
        <v>0.49475616151022372</v>
      </c>
      <c r="I24" s="38">
        <v>0.8262523279834092</v>
      </c>
      <c r="J24" s="42">
        <v>8.2625232798340917</v>
      </c>
      <c r="K24" s="193">
        <v>4.895774922725242E-3</v>
      </c>
      <c r="N24" s="17"/>
    </row>
    <row r="25" spans="1:16" x14ac:dyDescent="0.25">
      <c r="B25" s="17">
        <v>39</v>
      </c>
      <c r="C25" s="17">
        <v>23.7</v>
      </c>
      <c r="D25" s="17">
        <v>228</v>
      </c>
      <c r="E25" s="17">
        <v>81.19</v>
      </c>
      <c r="F25" s="248">
        <f t="shared" si="0"/>
        <v>5403.5999999999995</v>
      </c>
      <c r="G25" s="42">
        <v>300.90862155899742</v>
      </c>
      <c r="H25" s="38">
        <v>0.36211356078335183</v>
      </c>
      <c r="I25" s="38">
        <v>0.60675235072233391</v>
      </c>
      <c r="J25" s="42">
        <v>6.0675235072233393</v>
      </c>
      <c r="K25" s="193">
        <v>1.3843859757297174E-3</v>
      </c>
      <c r="N25" s="17"/>
    </row>
    <row r="26" spans="1:16" x14ac:dyDescent="0.25">
      <c r="B26" s="17">
        <v>53</v>
      </c>
      <c r="C26" s="17">
        <v>24.2</v>
      </c>
      <c r="D26" s="17">
        <v>225</v>
      </c>
      <c r="E26" s="17">
        <v>65.680000000000007</v>
      </c>
      <c r="F26" s="248">
        <f t="shared" si="0"/>
        <v>5445</v>
      </c>
      <c r="G26" s="42">
        <v>280.9159267661388</v>
      </c>
      <c r="H26" s="38">
        <v>0.46528623629720028</v>
      </c>
      <c r="I26" s="38">
        <v>0.83511282443104284</v>
      </c>
      <c r="J26" s="42">
        <v>8.3511282443104289</v>
      </c>
      <c r="K26" s="192">
        <v>1.7052041964822275E-3</v>
      </c>
      <c r="N26" s="17"/>
    </row>
    <row r="27" spans="1:16" x14ac:dyDescent="0.25">
      <c r="B27" s="17"/>
      <c r="C27" s="17"/>
      <c r="D27" s="17"/>
      <c r="E27" s="17"/>
      <c r="F27" s="245"/>
      <c r="G27" s="42"/>
      <c r="K27" s="251"/>
      <c r="N27" s="17"/>
    </row>
    <row r="28" spans="1:16" x14ac:dyDescent="0.25">
      <c r="B28" s="17"/>
      <c r="C28" s="17"/>
      <c r="D28" s="17"/>
      <c r="E28" s="17"/>
      <c r="F28" s="245"/>
      <c r="G28" s="42"/>
      <c r="K28" s="251"/>
      <c r="N28" s="17"/>
    </row>
    <row r="29" spans="1:16" x14ac:dyDescent="0.25">
      <c r="A29" s="138" t="s">
        <v>247</v>
      </c>
      <c r="C29" s="17"/>
      <c r="D29" s="17"/>
      <c r="E29" s="17"/>
      <c r="F29" s="245"/>
      <c r="G29" s="42"/>
      <c r="K29" s="251"/>
      <c r="L29" s="240" t="s">
        <v>325</v>
      </c>
      <c r="N29" s="138" t="s">
        <v>247</v>
      </c>
    </row>
    <row r="30" spans="1:16" x14ac:dyDescent="0.25">
      <c r="B30" s="17"/>
      <c r="C30" s="17"/>
      <c r="D30" s="17"/>
      <c r="E30" s="17"/>
      <c r="F30" s="245"/>
      <c r="G30" s="42"/>
      <c r="K30" s="251"/>
      <c r="L30" s="240" t="s">
        <v>326</v>
      </c>
      <c r="M30" s="99" t="s">
        <v>328</v>
      </c>
      <c r="N30" s="3"/>
    </row>
    <row r="31" spans="1:16" x14ac:dyDescent="0.25">
      <c r="B31" s="99" t="s">
        <v>21</v>
      </c>
      <c r="C31" s="99" t="s">
        <v>58</v>
      </c>
      <c r="D31" s="99" t="s">
        <v>59</v>
      </c>
      <c r="E31" s="99" t="s">
        <v>60</v>
      </c>
      <c r="F31" s="246" t="s">
        <v>191</v>
      </c>
      <c r="G31" s="99" t="s">
        <v>182</v>
      </c>
      <c r="H31" s="464" t="s">
        <v>30</v>
      </c>
      <c r="I31" s="464"/>
      <c r="J31" s="464"/>
      <c r="K31" s="101" t="s">
        <v>181</v>
      </c>
      <c r="L31" s="241" t="s">
        <v>181</v>
      </c>
      <c r="M31" s="103" t="s">
        <v>388</v>
      </c>
      <c r="N31" s="294" t="s">
        <v>258</v>
      </c>
      <c r="O31" s="5">
        <f>AVERAGE(J35:J41)</f>
        <v>8.2301840451905584</v>
      </c>
      <c r="P31" s="1" t="s">
        <v>301</v>
      </c>
    </row>
    <row r="32" spans="1:16" x14ac:dyDescent="0.25">
      <c r="B32" s="99"/>
      <c r="C32" s="99"/>
      <c r="D32" s="99"/>
      <c r="E32" s="99"/>
      <c r="F32" s="246" t="s">
        <v>192</v>
      </c>
      <c r="G32" s="99" t="s">
        <v>183</v>
      </c>
      <c r="H32" s="94" t="s">
        <v>9</v>
      </c>
      <c r="I32" s="94" t="s">
        <v>15</v>
      </c>
      <c r="J32" s="252" t="s">
        <v>20</v>
      </c>
      <c r="K32" s="250" t="s">
        <v>20</v>
      </c>
      <c r="L32" s="240" t="s">
        <v>20</v>
      </c>
      <c r="N32" s="138" t="s">
        <v>261</v>
      </c>
      <c r="O32" s="5">
        <f>STDEV(J35:J41)</f>
        <v>1.1636470167003539</v>
      </c>
    </row>
    <row r="33" spans="1:20" x14ac:dyDescent="0.25">
      <c r="B33" s="92"/>
      <c r="C33" s="92" t="s">
        <v>74</v>
      </c>
      <c r="D33" s="92" t="s">
        <v>75</v>
      </c>
      <c r="E33" s="92" t="s">
        <v>76</v>
      </c>
      <c r="F33" s="247"/>
      <c r="G33" s="92" t="s">
        <v>246</v>
      </c>
      <c r="H33" s="95" t="s">
        <v>1</v>
      </c>
      <c r="I33" s="95"/>
      <c r="J33" s="253"/>
      <c r="K33" s="193"/>
      <c r="L33" s="243"/>
      <c r="N33" s="145" t="s">
        <v>273</v>
      </c>
      <c r="O33" s="137">
        <f>1-(O31-O32)/O31</f>
        <v>0.14138772721374926</v>
      </c>
    </row>
    <row r="34" spans="1:20" x14ac:dyDescent="0.25">
      <c r="B34" s="17"/>
      <c r="C34" s="17"/>
      <c r="D34" s="17"/>
      <c r="E34" s="17"/>
      <c r="F34" s="245"/>
      <c r="G34" s="42"/>
      <c r="K34" s="251"/>
      <c r="N34" s="138" t="s">
        <v>260</v>
      </c>
      <c r="O34" s="231">
        <v>7</v>
      </c>
    </row>
    <row r="35" spans="1:20" x14ac:dyDescent="0.25">
      <c r="B35" s="17">
        <v>14</v>
      </c>
      <c r="C35" s="17">
        <v>24</v>
      </c>
      <c r="D35" s="17">
        <v>225</v>
      </c>
      <c r="E35" s="17">
        <v>10.44</v>
      </c>
      <c r="F35" s="245">
        <f>C35*D35</f>
        <v>5400</v>
      </c>
      <c r="G35" s="42">
        <v>324.71264367816093</v>
      </c>
      <c r="H35" s="38">
        <v>0.63793103448276245</v>
      </c>
      <c r="I35" s="38">
        <v>0.89272892796808057</v>
      </c>
      <c r="J35" s="42">
        <v>8.9272892796808065</v>
      </c>
      <c r="N35" s="138"/>
      <c r="T35" s="145" t="s">
        <v>385</v>
      </c>
    </row>
    <row r="36" spans="1:20" x14ac:dyDescent="0.25">
      <c r="B36" s="17">
        <v>15</v>
      </c>
      <c r="C36" s="17">
        <v>24</v>
      </c>
      <c r="D36" s="17">
        <v>225</v>
      </c>
      <c r="E36" s="17">
        <v>10.47</v>
      </c>
      <c r="F36" s="245">
        <f t="shared" ref="F36:F41" si="1">C36*D36</f>
        <v>5400</v>
      </c>
      <c r="G36" s="42">
        <v>280.08595988538679</v>
      </c>
      <c r="H36" s="38">
        <v>0.59598853868194379</v>
      </c>
      <c r="I36" s="38">
        <v>0.96692245445779967</v>
      </c>
      <c r="J36" s="42">
        <v>9.6692245445779967</v>
      </c>
      <c r="K36" s="72">
        <v>3.3470392654308706E-2</v>
      </c>
      <c r="N36" s="138" t="s">
        <v>259</v>
      </c>
      <c r="O36" s="192">
        <f>AVERAGE(K36:K39,L38:L39)</f>
        <v>2.4718705211601636E-2</v>
      </c>
      <c r="P36" s="1" t="s">
        <v>301</v>
      </c>
      <c r="T36" s="385">
        <f>O36/192.5</f>
        <v>1.2840885824208642E-4</v>
      </c>
    </row>
    <row r="37" spans="1:20" x14ac:dyDescent="0.25">
      <c r="B37" s="17">
        <v>19</v>
      </c>
      <c r="C37" s="17">
        <v>24</v>
      </c>
      <c r="D37" s="17">
        <v>225</v>
      </c>
      <c r="E37" s="17">
        <v>10.47</v>
      </c>
      <c r="F37" s="245">
        <f t="shared" si="1"/>
        <v>5400</v>
      </c>
      <c r="G37" s="42">
        <v>255.73065902578796</v>
      </c>
      <c r="H37" s="38">
        <v>0.49856733524355151</v>
      </c>
      <c r="I37" s="38">
        <v>0.88590285319142237</v>
      </c>
      <c r="J37" s="42">
        <v>8.8590285319142232</v>
      </c>
      <c r="K37" s="72">
        <v>2.4866376637855857E-2</v>
      </c>
      <c r="N37" s="138" t="s">
        <v>261</v>
      </c>
      <c r="O37" s="193">
        <f>STDEV(K36:K39,L38:L39)</f>
        <v>4.4968823581317879E-3</v>
      </c>
      <c r="P37" s="66"/>
    </row>
    <row r="38" spans="1:20" x14ac:dyDescent="0.25">
      <c r="B38" s="17">
        <v>35</v>
      </c>
      <c r="C38" s="17">
        <v>21</v>
      </c>
      <c r="D38" s="17">
        <v>176</v>
      </c>
      <c r="E38" s="17">
        <v>71.03</v>
      </c>
      <c r="F38" s="245">
        <f t="shared" si="1"/>
        <v>3696</v>
      </c>
      <c r="G38" s="42">
        <v>229.6593844150359</v>
      </c>
      <c r="H38" s="38">
        <v>0.31845699000422112</v>
      </c>
      <c r="I38" s="38">
        <v>0.63010317275966909</v>
      </c>
      <c r="J38" s="42">
        <v>6.3010317275966905</v>
      </c>
      <c r="K38" s="72">
        <v>2.2354456062760313E-2</v>
      </c>
      <c r="L38" s="239">
        <v>2.1134362386063865E-2</v>
      </c>
      <c r="M38" s="327">
        <f>(K38-L38)/L38</f>
        <v>5.7730328192961478E-2</v>
      </c>
      <c r="N38" s="138" t="s">
        <v>273</v>
      </c>
      <c r="O38" s="137">
        <f>1-(O36-O37)/O36</f>
        <v>0.18192224550747071</v>
      </c>
    </row>
    <row r="39" spans="1:20" x14ac:dyDescent="0.25">
      <c r="B39" s="17">
        <v>36</v>
      </c>
      <c r="C39" s="17">
        <v>21.2</v>
      </c>
      <c r="D39" s="17">
        <v>165</v>
      </c>
      <c r="E39" s="17">
        <v>70</v>
      </c>
      <c r="F39" s="245">
        <f t="shared" si="1"/>
        <v>3498</v>
      </c>
      <c r="G39" s="42">
        <v>210.48652999999999</v>
      </c>
      <c r="H39" s="38">
        <v>0.40714285714285531</v>
      </c>
      <c r="I39" s="38">
        <v>0.8789569172874343</v>
      </c>
      <c r="J39" s="42">
        <v>8.7895691728743426</v>
      </c>
      <c r="K39" s="72">
        <v>2.4166689136366198E-2</v>
      </c>
      <c r="L39" s="239">
        <v>2.2319954392254905E-2</v>
      </c>
      <c r="M39" s="327">
        <f>(K39-L39)/L39</f>
        <v>8.2739180898690159E-2</v>
      </c>
      <c r="N39" s="142" t="s">
        <v>260</v>
      </c>
      <c r="O39" s="231">
        <v>6</v>
      </c>
    </row>
    <row r="40" spans="1:20" x14ac:dyDescent="0.25">
      <c r="B40" s="17">
        <v>54</v>
      </c>
      <c r="C40" s="17">
        <v>21.1</v>
      </c>
      <c r="D40" s="17">
        <v>184</v>
      </c>
      <c r="E40" s="17">
        <v>93.6</v>
      </c>
      <c r="F40" s="245">
        <f t="shared" si="1"/>
        <v>3882.4</v>
      </c>
      <c r="G40" s="42">
        <v>222.77053288595087</v>
      </c>
      <c r="H40" s="38">
        <v>0.38333333333333269</v>
      </c>
      <c r="I40" s="38">
        <v>0.78192287554034023</v>
      </c>
      <c r="J40" s="42">
        <v>7.8192287554034028</v>
      </c>
      <c r="N40" s="17"/>
    </row>
    <row r="41" spans="1:20" x14ac:dyDescent="0.25">
      <c r="B41" s="17">
        <v>55</v>
      </c>
      <c r="C41" s="17">
        <v>20.8</v>
      </c>
      <c r="D41" s="17">
        <v>183</v>
      </c>
      <c r="E41" s="17">
        <v>78.45</v>
      </c>
      <c r="F41" s="245">
        <f t="shared" si="1"/>
        <v>3806.4</v>
      </c>
      <c r="G41" s="42">
        <v>223.02986368706183</v>
      </c>
      <c r="H41" s="38">
        <v>0.35564053537284745</v>
      </c>
      <c r="I41" s="38">
        <v>0.72459163042864416</v>
      </c>
      <c r="J41" s="42">
        <v>7.2459163042864416</v>
      </c>
      <c r="N41" s="99" t="s">
        <v>306</v>
      </c>
      <c r="O41" s="326">
        <f>AVERAGE(C36:C39)</f>
        <v>22.55</v>
      </c>
    </row>
    <row r="42" spans="1:20" x14ac:dyDescent="0.25">
      <c r="B42" s="17"/>
      <c r="C42" s="17">
        <f>AVERAGE(C36:C39)</f>
        <v>22.55</v>
      </c>
      <c r="D42" s="17">
        <f>AVERAGE(D36:D39)</f>
        <v>197.75</v>
      </c>
      <c r="E42" s="17"/>
      <c r="F42" s="245"/>
      <c r="G42" s="17">
        <f>AVERAGE(G36:G39)</f>
        <v>243.99063333155266</v>
      </c>
      <c r="N42" s="99" t="s">
        <v>307</v>
      </c>
      <c r="O42" s="326">
        <f>AVERAGE(D36:D39)</f>
        <v>197.75</v>
      </c>
    </row>
    <row r="43" spans="1:20" x14ac:dyDescent="0.25">
      <c r="N43" s="99" t="s">
        <v>308</v>
      </c>
      <c r="O43" s="326">
        <f>AVERAGE(G36:G39)</f>
        <v>243.99063333155266</v>
      </c>
    </row>
    <row r="44" spans="1:20" x14ac:dyDescent="0.25">
      <c r="N44" s="17"/>
    </row>
    <row r="45" spans="1:20" x14ac:dyDescent="0.25">
      <c r="A45" s="138" t="s">
        <v>248</v>
      </c>
      <c r="C45" s="17"/>
      <c r="D45" s="17"/>
      <c r="E45" s="17"/>
      <c r="F45" s="245"/>
      <c r="G45" s="42"/>
      <c r="K45" s="251"/>
      <c r="L45" s="240" t="s">
        <v>325</v>
      </c>
      <c r="N45" s="138" t="s">
        <v>248</v>
      </c>
    </row>
    <row r="46" spans="1:20" x14ac:dyDescent="0.25">
      <c r="B46" s="17"/>
      <c r="C46" s="17"/>
      <c r="D46" s="17"/>
      <c r="E46" s="17"/>
      <c r="F46" s="245"/>
      <c r="G46" s="42"/>
      <c r="K46" s="251"/>
      <c r="L46" s="240" t="s">
        <v>326</v>
      </c>
      <c r="N46" s="3"/>
    </row>
    <row r="47" spans="1:20" x14ac:dyDescent="0.25">
      <c r="B47" s="99" t="s">
        <v>21</v>
      </c>
      <c r="C47" s="99" t="s">
        <v>58</v>
      </c>
      <c r="D47" s="99" t="s">
        <v>59</v>
      </c>
      <c r="E47" s="99" t="s">
        <v>60</v>
      </c>
      <c r="F47" s="246" t="s">
        <v>191</v>
      </c>
      <c r="G47" s="99" t="s">
        <v>182</v>
      </c>
      <c r="H47" s="464" t="s">
        <v>30</v>
      </c>
      <c r="I47" s="464"/>
      <c r="J47" s="464"/>
      <c r="K47" s="101" t="s">
        <v>181</v>
      </c>
      <c r="L47" s="241" t="s">
        <v>181</v>
      </c>
      <c r="N47" s="138" t="s">
        <v>258</v>
      </c>
      <c r="O47" s="5">
        <f>AVERAGE(J51:J59)</f>
        <v>8.2524376618672655</v>
      </c>
      <c r="P47" s="1" t="s">
        <v>301</v>
      </c>
    </row>
    <row r="48" spans="1:20" x14ac:dyDescent="0.25">
      <c r="B48" s="99"/>
      <c r="C48" s="99"/>
      <c r="D48" s="99"/>
      <c r="E48" s="99"/>
      <c r="F48" s="246" t="s">
        <v>192</v>
      </c>
      <c r="G48" s="99" t="s">
        <v>183</v>
      </c>
      <c r="H48" s="94" t="s">
        <v>9</v>
      </c>
      <c r="I48" s="94" t="s">
        <v>15</v>
      </c>
      <c r="J48" s="252" t="s">
        <v>20</v>
      </c>
      <c r="K48" s="250" t="s">
        <v>20</v>
      </c>
      <c r="L48" s="240" t="s">
        <v>20</v>
      </c>
      <c r="N48" s="138" t="s">
        <v>261</v>
      </c>
      <c r="O48" s="5">
        <f>STDEV(J51:J59)</f>
        <v>4.7503524272354554</v>
      </c>
    </row>
    <row r="49" spans="1:20" x14ac:dyDescent="0.25">
      <c r="B49" s="99"/>
      <c r="C49" s="92" t="s">
        <v>74</v>
      </c>
      <c r="D49" s="92" t="s">
        <v>75</v>
      </c>
      <c r="E49" s="92" t="s">
        <v>76</v>
      </c>
      <c r="F49" s="247"/>
      <c r="G49" s="92" t="s">
        <v>246</v>
      </c>
      <c r="H49" s="95" t="s">
        <v>1</v>
      </c>
      <c r="I49" s="94"/>
      <c r="J49" s="252"/>
      <c r="K49" s="250"/>
      <c r="N49" s="145" t="s">
        <v>273</v>
      </c>
      <c r="O49" s="137">
        <f>1-(O47-O48)/O47</f>
        <v>0.57563021035418527</v>
      </c>
    </row>
    <row r="50" spans="1:20" x14ac:dyDescent="0.25">
      <c r="N50" s="138" t="s">
        <v>260</v>
      </c>
      <c r="O50" s="231">
        <v>9</v>
      </c>
      <c r="Q50" t="s">
        <v>367</v>
      </c>
    </row>
    <row r="51" spans="1:20" x14ac:dyDescent="0.25">
      <c r="B51" s="17">
        <v>20</v>
      </c>
      <c r="C51" s="17">
        <v>24</v>
      </c>
      <c r="D51" s="17">
        <v>210</v>
      </c>
      <c r="E51" s="17">
        <v>10.31</v>
      </c>
      <c r="F51" s="245">
        <f>C51*D51</f>
        <v>5040</v>
      </c>
      <c r="G51" s="42">
        <v>221.14451988360813</v>
      </c>
      <c r="H51" s="38">
        <v>0.55286129970903441</v>
      </c>
      <c r="I51" s="38">
        <v>1.1360176673467914</v>
      </c>
      <c r="J51" s="42">
        <v>11.360176673467915</v>
      </c>
      <c r="K51" s="72">
        <v>2.5339173022187262E-2</v>
      </c>
      <c r="Q51" s="138" t="s">
        <v>259</v>
      </c>
      <c r="T51" s="145" t="s">
        <v>385</v>
      </c>
    </row>
    <row r="52" spans="1:20" x14ac:dyDescent="0.25">
      <c r="B52" s="17">
        <v>21</v>
      </c>
      <c r="C52" s="17">
        <v>24</v>
      </c>
      <c r="D52" s="17">
        <v>200</v>
      </c>
      <c r="E52" s="17">
        <v>12.14</v>
      </c>
      <c r="F52" s="245">
        <f t="shared" ref="F52:F59" si="2">C52*D52</f>
        <v>4800</v>
      </c>
      <c r="G52" s="42">
        <v>497.37326493641882</v>
      </c>
      <c r="H52" s="38">
        <v>1.0823723228995117</v>
      </c>
      <c r="I52" s="38">
        <v>1.7488464879887968</v>
      </c>
      <c r="J52" s="42">
        <v>17.488464879887967</v>
      </c>
      <c r="K52" s="72">
        <v>1.2872787847661759E-2</v>
      </c>
      <c r="N52" s="138" t="s">
        <v>259</v>
      </c>
      <c r="O52" s="192">
        <f>AVERAGE(L51:L59)</f>
        <v>8.6460440927549672E-3</v>
      </c>
      <c r="P52" s="1" t="s">
        <v>301</v>
      </c>
      <c r="Q52" s="192">
        <f>AVERAGE(K36:K39,L38:L39,L57:L59)</f>
        <v>1.9361151505319415E-2</v>
      </c>
      <c r="T52" s="385">
        <f>Q52/192.5</f>
        <v>1.0057741041724371E-4</v>
      </c>
    </row>
    <row r="53" spans="1:20" x14ac:dyDescent="0.25">
      <c r="B53" s="17">
        <v>22</v>
      </c>
      <c r="C53" s="17">
        <v>21</v>
      </c>
      <c r="D53" s="17">
        <v>175</v>
      </c>
      <c r="E53" s="17">
        <v>20</v>
      </c>
      <c r="F53" s="245">
        <f t="shared" si="2"/>
        <v>3675</v>
      </c>
      <c r="G53" s="42">
        <v>783.91620000000023</v>
      </c>
      <c r="H53" s="38">
        <v>0.54899999999999949</v>
      </c>
      <c r="I53" s="38">
        <v>0.56280785851081749</v>
      </c>
      <c r="J53" s="42">
        <v>5.6280785851081747</v>
      </c>
      <c r="K53" s="72">
        <v>6.5199598909449954E-3</v>
      </c>
      <c r="N53" s="138" t="s">
        <v>261</v>
      </c>
      <c r="O53" s="193">
        <f>STDEV(L51:L59)</f>
        <v>3.9105433948787441E-3</v>
      </c>
      <c r="P53" s="66"/>
      <c r="Q53" s="192">
        <f>STDEV(K36:K39,L38:L39,L57:L59)</f>
        <v>9.0024671957428977E-3</v>
      </c>
    </row>
    <row r="54" spans="1:20" x14ac:dyDescent="0.25">
      <c r="B54" s="17">
        <v>23</v>
      </c>
      <c r="C54" s="17">
        <v>22</v>
      </c>
      <c r="D54" s="17">
        <v>160</v>
      </c>
      <c r="E54" s="17">
        <v>12</v>
      </c>
      <c r="F54" s="245">
        <f t="shared" si="2"/>
        <v>3520</v>
      </c>
      <c r="G54" s="42">
        <v>423.19426230468753</v>
      </c>
      <c r="H54" s="38">
        <v>0.47499999999997655</v>
      </c>
      <c r="I54" s="38">
        <v>0.90200986356411827</v>
      </c>
      <c r="J54" s="42">
        <v>9.0200986356411832</v>
      </c>
      <c r="K54" s="72">
        <v>9.3809025810672932E-3</v>
      </c>
      <c r="N54" s="138" t="s">
        <v>273</v>
      </c>
      <c r="O54" s="137">
        <f>1-(O52-O53)/O52</f>
        <v>0.45229278880911794</v>
      </c>
      <c r="Q54" s="137">
        <f>1-(Q52-Q53)/Q52</f>
        <v>0.46497581475303773</v>
      </c>
    </row>
    <row r="55" spans="1:20" x14ac:dyDescent="0.25">
      <c r="B55" s="17">
        <v>27</v>
      </c>
      <c r="C55" s="17">
        <v>24</v>
      </c>
      <c r="D55" s="17">
        <v>175</v>
      </c>
      <c r="E55" s="17">
        <v>59.68</v>
      </c>
      <c r="F55" s="245">
        <f t="shared" si="2"/>
        <v>4200</v>
      </c>
      <c r="G55" s="42">
        <v>675.25888069705104</v>
      </c>
      <c r="H55" s="38">
        <v>0.44738605898123351</v>
      </c>
      <c r="I55" s="38">
        <v>0.53243867037386616</v>
      </c>
      <c r="J55" s="42">
        <v>5.3243867037386616</v>
      </c>
      <c r="K55" s="72">
        <v>8.7343871769195967E-3</v>
      </c>
      <c r="N55" s="142" t="s">
        <v>260</v>
      </c>
      <c r="O55" s="231">
        <v>3</v>
      </c>
    </row>
    <row r="56" spans="1:20" x14ac:dyDescent="0.25">
      <c r="B56" s="17">
        <v>31</v>
      </c>
      <c r="C56" s="17">
        <v>24</v>
      </c>
      <c r="D56" s="17">
        <v>200</v>
      </c>
      <c r="E56" s="17">
        <v>83</v>
      </c>
      <c r="F56" s="245">
        <f t="shared" si="2"/>
        <v>4800</v>
      </c>
      <c r="G56" s="42">
        <v>499.81505503925149</v>
      </c>
      <c r="H56" s="38">
        <v>0.25373493975903549</v>
      </c>
      <c r="I56" s="38">
        <v>0.40797015065612929</v>
      </c>
      <c r="J56" s="42">
        <v>4.0797015065612934</v>
      </c>
      <c r="K56" s="72">
        <v>8.2872569064906254E-3</v>
      </c>
    </row>
    <row r="57" spans="1:20" x14ac:dyDescent="0.25">
      <c r="B57" s="17">
        <v>40</v>
      </c>
      <c r="C57" s="17">
        <v>24.4</v>
      </c>
      <c r="D57" s="17">
        <v>134</v>
      </c>
      <c r="E57" s="17">
        <v>91.03</v>
      </c>
      <c r="F57" s="245">
        <f t="shared" si="2"/>
        <v>3269.6</v>
      </c>
      <c r="G57" s="42">
        <v>311.06676072390525</v>
      </c>
      <c r="H57" s="38">
        <v>0.17400856860375188</v>
      </c>
      <c r="I57" s="38">
        <v>0.44954634981524372</v>
      </c>
      <c r="J57" s="42">
        <v>4.4954634981524375</v>
      </c>
      <c r="K57" s="193">
        <v>8.3336357424085884E-3</v>
      </c>
      <c r="L57" s="239">
        <v>4.6010387772758496E-3</v>
      </c>
      <c r="M57" s="327">
        <f>(K57-L57)/L57</f>
        <v>0.81125092524056241</v>
      </c>
      <c r="N57" s="99" t="s">
        <v>306</v>
      </c>
      <c r="O57" s="326">
        <f>AVERAGE(C57:C59)</f>
        <v>24.033333333333331</v>
      </c>
    </row>
    <row r="58" spans="1:20" x14ac:dyDescent="0.25">
      <c r="B58" s="17">
        <v>41</v>
      </c>
      <c r="C58" s="17">
        <v>23.4</v>
      </c>
      <c r="D58" s="17">
        <v>168</v>
      </c>
      <c r="E58" s="17">
        <v>93.85</v>
      </c>
      <c r="F58" s="245">
        <f t="shared" si="2"/>
        <v>3931.2</v>
      </c>
      <c r="G58" s="42">
        <v>472.32582690884294</v>
      </c>
      <c r="H58" s="38">
        <v>0.7518380394246128</v>
      </c>
      <c r="I58" s="38">
        <v>1.2792047090060765</v>
      </c>
      <c r="J58" s="42">
        <v>12.792047090060766</v>
      </c>
      <c r="K58" s="72">
        <v>1.1461717703058715E-2</v>
      </c>
      <c r="L58" s="239">
        <v>8.9305022627039991E-3</v>
      </c>
      <c r="M58" s="327">
        <f>(K58-L58)/L58</f>
        <v>0.28343483556638266</v>
      </c>
      <c r="N58" s="99" t="s">
        <v>307</v>
      </c>
      <c r="O58" s="326">
        <f>AVERAGE(D57:D59)</f>
        <v>172</v>
      </c>
    </row>
    <row r="59" spans="1:20" x14ac:dyDescent="0.25">
      <c r="B59" s="17">
        <v>42</v>
      </c>
      <c r="C59" s="17">
        <v>24.3</v>
      </c>
      <c r="D59" s="17">
        <v>214</v>
      </c>
      <c r="E59" s="17">
        <v>51.13</v>
      </c>
      <c r="F59" s="245">
        <f t="shared" si="2"/>
        <v>5200.2</v>
      </c>
      <c r="G59" s="42">
        <v>773.64705801073399</v>
      </c>
      <c r="H59" s="38">
        <v>0.39311558771758359</v>
      </c>
      <c r="I59" s="38">
        <v>0.40835213841869755</v>
      </c>
      <c r="J59" s="42">
        <v>4.0835213841869757</v>
      </c>
      <c r="K59" s="72">
        <v>1.862817128153588E-2</v>
      </c>
      <c r="L59" s="239">
        <v>1.2406591238285055E-2</v>
      </c>
      <c r="M59" s="327">
        <f>(K59-L59)/L59</f>
        <v>0.5014737669483198</v>
      </c>
      <c r="N59" s="99" t="s">
        <v>308</v>
      </c>
      <c r="O59" s="326">
        <f>AVERAGE(G57:G59)</f>
        <v>519.01321521449415</v>
      </c>
    </row>
    <row r="60" spans="1:20" x14ac:dyDescent="0.25">
      <c r="B60" s="329"/>
      <c r="C60" s="329">
        <f>AVERAGE(C57:C59)</f>
        <v>24.033333333333331</v>
      </c>
      <c r="D60" s="329">
        <f>AVERAGE(D57:D59)</f>
        <v>172</v>
      </c>
      <c r="E60" s="244"/>
      <c r="F60" s="329"/>
      <c r="G60" s="329">
        <f>AVERAGE(G57:G59)</f>
        <v>519.01321521449415</v>
      </c>
      <c r="N60" s="17"/>
    </row>
    <row r="61" spans="1:20" x14ac:dyDescent="0.25">
      <c r="B61" s="17"/>
      <c r="C61" s="17"/>
      <c r="D61" s="17"/>
      <c r="E61" s="17"/>
      <c r="F61" s="245"/>
      <c r="N61" s="100"/>
    </row>
    <row r="62" spans="1:20" x14ac:dyDescent="0.25">
      <c r="N62" s="17"/>
    </row>
    <row r="63" spans="1:20" x14ac:dyDescent="0.25">
      <c r="A63" s="138" t="s">
        <v>249</v>
      </c>
      <c r="C63" s="17"/>
      <c r="D63" s="17"/>
      <c r="E63" s="17"/>
      <c r="F63" s="245"/>
      <c r="G63" s="42"/>
      <c r="K63" s="251"/>
      <c r="L63" s="240" t="s">
        <v>325</v>
      </c>
      <c r="N63" s="138" t="s">
        <v>249</v>
      </c>
    </row>
    <row r="64" spans="1:20" x14ac:dyDescent="0.25">
      <c r="B64" s="17"/>
      <c r="C64" s="17"/>
      <c r="D64" s="17"/>
      <c r="E64" s="17"/>
      <c r="F64" s="245"/>
      <c r="G64" s="42"/>
      <c r="K64" s="251"/>
      <c r="L64" s="240" t="s">
        <v>326</v>
      </c>
      <c r="N64" s="3"/>
    </row>
    <row r="65" spans="1:20" x14ac:dyDescent="0.25">
      <c r="B65" s="99" t="s">
        <v>21</v>
      </c>
      <c r="C65" s="99" t="s">
        <v>58</v>
      </c>
      <c r="D65" s="99" t="s">
        <v>59</v>
      </c>
      <c r="E65" s="99" t="s">
        <v>60</v>
      </c>
      <c r="F65" s="246" t="s">
        <v>191</v>
      </c>
      <c r="G65" s="99" t="s">
        <v>182</v>
      </c>
      <c r="H65" s="464" t="s">
        <v>30</v>
      </c>
      <c r="I65" s="464"/>
      <c r="J65" s="464"/>
      <c r="K65" s="101" t="s">
        <v>181</v>
      </c>
      <c r="L65" s="241" t="s">
        <v>181</v>
      </c>
      <c r="N65" s="138" t="s">
        <v>258</v>
      </c>
      <c r="O65" s="5">
        <f>AVERAGE(J69:J73)</f>
        <v>5.8371814050295505</v>
      </c>
      <c r="P65" s="1" t="s">
        <v>301</v>
      </c>
    </row>
    <row r="66" spans="1:20" x14ac:dyDescent="0.25">
      <c r="B66" s="99"/>
      <c r="C66" s="99"/>
      <c r="D66" s="99"/>
      <c r="E66" s="99"/>
      <c r="F66" s="246"/>
      <c r="G66" s="99" t="s">
        <v>183</v>
      </c>
      <c r="H66" s="94" t="s">
        <v>9</v>
      </c>
      <c r="I66" s="94" t="s">
        <v>15</v>
      </c>
      <c r="J66" s="252" t="s">
        <v>20</v>
      </c>
      <c r="K66" s="250" t="s">
        <v>20</v>
      </c>
      <c r="L66" s="240" t="s">
        <v>20</v>
      </c>
      <c r="N66" s="138" t="s">
        <v>261</v>
      </c>
      <c r="O66" s="5">
        <f>STDEV(J69:J73)</f>
        <v>2.2576937949642706</v>
      </c>
    </row>
    <row r="67" spans="1:20" x14ac:dyDescent="0.25">
      <c r="C67" s="92" t="s">
        <v>74</v>
      </c>
      <c r="D67" s="92" t="s">
        <v>75</v>
      </c>
      <c r="E67" s="92" t="s">
        <v>76</v>
      </c>
      <c r="F67" s="247"/>
      <c r="G67" s="92" t="s">
        <v>246</v>
      </c>
      <c r="H67" s="95" t="s">
        <v>1</v>
      </c>
      <c r="N67" s="145" t="s">
        <v>273</v>
      </c>
      <c r="O67" s="137">
        <f>1-(O65-O66)/O65</f>
        <v>0.38677807631932604</v>
      </c>
    </row>
    <row r="68" spans="1:20" x14ac:dyDescent="0.25">
      <c r="N68" s="138" t="s">
        <v>260</v>
      </c>
      <c r="O68" s="231">
        <f>COUNT(B69:B73)</f>
        <v>5</v>
      </c>
    </row>
    <row r="69" spans="1:20" x14ac:dyDescent="0.25">
      <c r="B69" s="17">
        <v>59</v>
      </c>
      <c r="C69" s="17">
        <v>23.4</v>
      </c>
      <c r="D69" s="17">
        <v>131</v>
      </c>
      <c r="E69" s="17">
        <v>81.38</v>
      </c>
      <c r="F69" s="245">
        <f>C69*D69</f>
        <v>3065.3999999999996</v>
      </c>
      <c r="G69" s="42">
        <v>349.13478799881727</v>
      </c>
      <c r="H69" s="38">
        <v>0.19021872695994038</v>
      </c>
      <c r="I69" s="38">
        <v>0.43784217686542287</v>
      </c>
      <c r="J69" s="42">
        <v>4.3784217686542277</v>
      </c>
      <c r="K69" s="72">
        <v>2.0205228518448613E-2</v>
      </c>
      <c r="L69" s="239">
        <v>1.1461961482748357E-2</v>
      </c>
      <c r="M69" s="327">
        <f>(K69-L69)/L69</f>
        <v>0.76280722534794188</v>
      </c>
      <c r="N69" s="138"/>
      <c r="T69" s="145" t="s">
        <v>385</v>
      </c>
    </row>
    <row r="70" spans="1:20" x14ac:dyDescent="0.25">
      <c r="B70" s="17">
        <v>60</v>
      </c>
      <c r="C70" s="17">
        <v>23.5</v>
      </c>
      <c r="D70" s="17">
        <v>128</v>
      </c>
      <c r="E70" s="17">
        <v>80</v>
      </c>
      <c r="F70" s="245">
        <f>C70*D70</f>
        <v>3008</v>
      </c>
      <c r="G70" s="42">
        <v>352.99506559960935</v>
      </c>
      <c r="H70" s="38">
        <v>0.17925000000000324</v>
      </c>
      <c r="I70" s="38">
        <v>0.40808250613115837</v>
      </c>
      <c r="J70" s="42">
        <v>4.0808250613115833</v>
      </c>
      <c r="K70" s="72">
        <v>1.4755853631738104E-2</v>
      </c>
      <c r="L70" s="239">
        <v>7.5606248416265126E-3</v>
      </c>
      <c r="M70" s="327">
        <f>(K70-L70)/L70</f>
        <v>0.95167118337850054</v>
      </c>
      <c r="N70" s="138" t="s">
        <v>259</v>
      </c>
      <c r="O70" s="192">
        <f>AVERAGE(L69:L73)</f>
        <v>1.1776657761840064E-2</v>
      </c>
      <c r="P70" s="1" t="s">
        <v>301</v>
      </c>
      <c r="T70" s="385">
        <f>O70/192.5</f>
        <v>6.1177442918649688E-5</v>
      </c>
    </row>
    <row r="71" spans="1:20" x14ac:dyDescent="0.25">
      <c r="B71" s="17">
        <v>64</v>
      </c>
      <c r="C71" s="17">
        <v>23.5</v>
      </c>
      <c r="D71" s="17">
        <v>128</v>
      </c>
      <c r="E71" s="17">
        <v>80</v>
      </c>
      <c r="F71" s="245">
        <f>C71*D71</f>
        <v>3008</v>
      </c>
      <c r="G71" s="17">
        <v>352.99506559960935</v>
      </c>
      <c r="H71" s="38">
        <v>0.18224999999999625</v>
      </c>
      <c r="I71" s="38">
        <v>0.41491233886973911</v>
      </c>
      <c r="J71" s="42">
        <v>4.1491233886973911</v>
      </c>
      <c r="K71" s="192">
        <v>1.8570315216244346E-2</v>
      </c>
      <c r="L71" s="239">
        <v>1.2993756785180163E-2</v>
      </c>
      <c r="M71" s="327">
        <f>(K71-L71)/L71</f>
        <v>0.42917214191852848</v>
      </c>
      <c r="N71" s="138" t="s">
        <v>261</v>
      </c>
      <c r="O71" s="193">
        <f>STDEV(L69:L73)</f>
        <v>2.983345433324922E-3</v>
      </c>
      <c r="P71" s="66"/>
    </row>
    <row r="72" spans="1:20" x14ac:dyDescent="0.25">
      <c r="B72" s="17">
        <v>70</v>
      </c>
      <c r="C72" s="17">
        <v>24.1</v>
      </c>
      <c r="D72" s="17">
        <v>127</v>
      </c>
      <c r="E72" s="245">
        <v>34.200000000000003</v>
      </c>
      <c r="F72" s="245">
        <f>C72*D72</f>
        <v>3060.7000000000003</v>
      </c>
      <c r="G72" s="17">
        <v>399.58246054459056</v>
      </c>
      <c r="H72" s="38">
        <v>0.43157894736841868</v>
      </c>
      <c r="I72" s="38">
        <v>0.86798312615718809</v>
      </c>
      <c r="J72" s="42">
        <v>8.6798312615718807</v>
      </c>
      <c r="K72" s="192">
        <v>1.963194355259602E-2</v>
      </c>
      <c r="L72" s="239">
        <v>1.1114418078842104E-2</v>
      </c>
      <c r="M72" s="327">
        <f>(K72-L72)/L72</f>
        <v>0.76634920634920622</v>
      </c>
      <c r="N72" s="138" t="s">
        <v>273</v>
      </c>
      <c r="O72" s="137">
        <f>1-(O70-O71)/O70</f>
        <v>0.25332700445722922</v>
      </c>
    </row>
    <row r="73" spans="1:20" x14ac:dyDescent="0.25">
      <c r="B73" s="17">
        <v>71</v>
      </c>
      <c r="C73" s="17">
        <v>24</v>
      </c>
      <c r="D73" s="17">
        <v>125</v>
      </c>
      <c r="E73" s="17">
        <v>34</v>
      </c>
      <c r="F73" s="245">
        <f>C73*D73</f>
        <v>3000</v>
      </c>
      <c r="G73" s="17">
        <v>396.84518680147056</v>
      </c>
      <c r="H73" s="38">
        <v>0.39</v>
      </c>
      <c r="I73" s="38">
        <v>0.78977055449126721</v>
      </c>
      <c r="J73" s="42">
        <v>7.8977055449126716</v>
      </c>
      <c r="K73" s="192">
        <v>2.8574684858426111E-2</v>
      </c>
      <c r="L73" s="239">
        <v>1.5752527620803185E-2</v>
      </c>
      <c r="M73" s="327">
        <f>(K73-L73)/L73</f>
        <v>0.81397459165154307</v>
      </c>
      <c r="N73" s="142" t="s">
        <v>260</v>
      </c>
      <c r="O73" s="231">
        <f>COUNT(B69:B73)</f>
        <v>5</v>
      </c>
    </row>
    <row r="74" spans="1:20" x14ac:dyDescent="0.25">
      <c r="C74" s="329">
        <f>AVERAGE(C69:C73)</f>
        <v>23.7</v>
      </c>
      <c r="D74" s="329">
        <f>AVERAGE(D69:D73)</f>
        <v>127.8</v>
      </c>
      <c r="G74" s="329">
        <f>AVERAGE(G69:G73)</f>
        <v>370.3105133088194</v>
      </c>
      <c r="N74" s="142"/>
    </row>
    <row r="75" spans="1:20" x14ac:dyDescent="0.25">
      <c r="N75" s="99" t="s">
        <v>306</v>
      </c>
      <c r="O75" s="326">
        <f>AVERAGE(C69:C73)</f>
        <v>23.7</v>
      </c>
    </row>
    <row r="76" spans="1:20" x14ac:dyDescent="0.25">
      <c r="N76" s="99" t="s">
        <v>307</v>
      </c>
      <c r="O76" s="326">
        <f>AVERAGE(D69:D73)</f>
        <v>127.8</v>
      </c>
    </row>
    <row r="77" spans="1:20" x14ac:dyDescent="0.25">
      <c r="N77" s="99" t="s">
        <v>308</v>
      </c>
      <c r="O77" s="326">
        <f>AVERAGE(G69:G73)</f>
        <v>370.3105133088194</v>
      </c>
    </row>
    <row r="78" spans="1:20" x14ac:dyDescent="0.25">
      <c r="N78" s="99"/>
    </row>
    <row r="79" spans="1:20" x14ac:dyDescent="0.25">
      <c r="N79" s="99"/>
    </row>
    <row r="80" spans="1:20" x14ac:dyDescent="0.25">
      <c r="A80" s="138" t="s">
        <v>271</v>
      </c>
      <c r="C80" s="17"/>
      <c r="D80" s="17"/>
      <c r="E80" s="17"/>
      <c r="F80" s="245"/>
      <c r="G80" s="42"/>
      <c r="K80" s="251"/>
      <c r="L80" s="240" t="s">
        <v>325</v>
      </c>
      <c r="N80" s="138" t="s">
        <v>271</v>
      </c>
    </row>
    <row r="81" spans="1:16" x14ac:dyDescent="0.25">
      <c r="B81" s="17"/>
      <c r="C81" s="17"/>
      <c r="D81" s="17"/>
      <c r="E81" s="17"/>
      <c r="F81" s="245"/>
      <c r="G81" s="42"/>
      <c r="K81" s="251"/>
      <c r="L81" s="240" t="s">
        <v>326</v>
      </c>
      <c r="N81" s="142"/>
    </row>
    <row r="82" spans="1:16" x14ac:dyDescent="0.25">
      <c r="B82" s="99" t="s">
        <v>21</v>
      </c>
      <c r="C82" s="99" t="s">
        <v>58</v>
      </c>
      <c r="D82" s="99" t="s">
        <v>59</v>
      </c>
      <c r="E82" s="99" t="s">
        <v>60</v>
      </c>
      <c r="F82" s="246" t="s">
        <v>191</v>
      </c>
      <c r="G82" s="99" t="s">
        <v>182</v>
      </c>
      <c r="H82" s="464" t="s">
        <v>30</v>
      </c>
      <c r="I82" s="464"/>
      <c r="J82" s="464"/>
      <c r="K82" s="101" t="s">
        <v>181</v>
      </c>
      <c r="L82" s="241" t="s">
        <v>181</v>
      </c>
      <c r="N82" s="138" t="s">
        <v>258</v>
      </c>
      <c r="O82" s="5">
        <f>AVERAGE(J86:J88)</f>
        <v>4.8536525064569753</v>
      </c>
      <c r="P82" s="1" t="s">
        <v>301</v>
      </c>
    </row>
    <row r="83" spans="1:16" x14ac:dyDescent="0.25">
      <c r="B83" s="99"/>
      <c r="C83" s="99"/>
      <c r="D83" s="99"/>
      <c r="E83" s="99"/>
      <c r="F83" s="246"/>
      <c r="G83" s="99" t="s">
        <v>183</v>
      </c>
      <c r="H83" s="94" t="s">
        <v>9</v>
      </c>
      <c r="I83" s="94" t="s">
        <v>15</v>
      </c>
      <c r="J83" s="252" t="s">
        <v>20</v>
      </c>
      <c r="K83" s="250" t="s">
        <v>20</v>
      </c>
      <c r="L83" s="240" t="s">
        <v>20</v>
      </c>
      <c r="N83" s="138" t="s">
        <v>261</v>
      </c>
      <c r="O83" s="5">
        <f>STDEV(J86:J88)</f>
        <v>2.619329390611719</v>
      </c>
    </row>
    <row r="84" spans="1:16" x14ac:dyDescent="0.25">
      <c r="C84" s="92" t="s">
        <v>74</v>
      </c>
      <c r="D84" s="92" t="s">
        <v>75</v>
      </c>
      <c r="E84" s="92" t="s">
        <v>76</v>
      </c>
      <c r="F84" s="247"/>
      <c r="G84" s="92" t="s">
        <v>246</v>
      </c>
      <c r="H84" s="95" t="s">
        <v>1</v>
      </c>
      <c r="N84" t="s">
        <v>273</v>
      </c>
      <c r="O84" s="137">
        <f>1-(O82-O83)/O82</f>
        <v>0.53966149969062227</v>
      </c>
    </row>
    <row r="85" spans="1:16" x14ac:dyDescent="0.25">
      <c r="N85" s="138" t="s">
        <v>260</v>
      </c>
      <c r="O85" s="231">
        <f>COUNT(B86:B88)</f>
        <v>3</v>
      </c>
    </row>
    <row r="86" spans="1:16" x14ac:dyDescent="0.25">
      <c r="B86" s="17">
        <v>61</v>
      </c>
      <c r="C86" s="17">
        <v>24.7</v>
      </c>
      <c r="D86" s="17">
        <v>175</v>
      </c>
      <c r="E86" s="38">
        <v>67.84</v>
      </c>
      <c r="F86" s="245">
        <f>C86*D86</f>
        <v>4322.5</v>
      </c>
      <c r="G86" s="42">
        <v>247.24565683040973</v>
      </c>
      <c r="H86" s="38">
        <v>0.20430424528301402</v>
      </c>
      <c r="I86" s="38">
        <v>0.40665396952037636</v>
      </c>
      <c r="J86" s="42">
        <v>4.0665396952037636</v>
      </c>
      <c r="K86" s="72">
        <v>1.8663832834870702E-2</v>
      </c>
      <c r="L86" s="239">
        <v>1.6135888678025356E-2</v>
      </c>
      <c r="M86" s="327">
        <f>(K86-L86)/L86</f>
        <v>0.15666593934104323</v>
      </c>
      <c r="N86" s="138"/>
    </row>
    <row r="87" spans="1:16" x14ac:dyDescent="0.25">
      <c r="B87" s="17">
        <v>62</v>
      </c>
      <c r="C87" s="17">
        <v>24.8</v>
      </c>
      <c r="D87" s="17">
        <v>175</v>
      </c>
      <c r="E87" s="38">
        <v>67.56</v>
      </c>
      <c r="F87" s="245">
        <f>C87*D87</f>
        <v>4340</v>
      </c>
      <c r="G87" s="42">
        <v>247.29674835331556</v>
      </c>
      <c r="H87" s="38">
        <v>0.39076376554173547</v>
      </c>
      <c r="I87" s="38">
        <v>0.77762851314358483</v>
      </c>
      <c r="J87" s="42">
        <v>7.7762851314358494</v>
      </c>
      <c r="K87" s="72">
        <v>1.9200354924527315E-2</v>
      </c>
      <c r="L87" s="239">
        <v>1.6351406826373961E-2</v>
      </c>
      <c r="M87" s="327">
        <f>(K87-L87)/L87</f>
        <v>0.17423259835711202</v>
      </c>
      <c r="N87" s="138" t="s">
        <v>259</v>
      </c>
      <c r="O87" s="192">
        <f>AVERAGE(L86:L88)</f>
        <v>2.7398725572813188E-2</v>
      </c>
      <c r="P87" s="1" t="s">
        <v>301</v>
      </c>
    </row>
    <row r="88" spans="1:16" x14ac:dyDescent="0.25">
      <c r="B88" s="17">
        <v>63</v>
      </c>
      <c r="C88" s="17">
        <v>30.9</v>
      </c>
      <c r="D88" s="17">
        <v>173</v>
      </c>
      <c r="E88" s="17">
        <v>59.97</v>
      </c>
      <c r="F88" s="245">
        <f>C88*D88</f>
        <v>5345.7</v>
      </c>
      <c r="G88" s="42">
        <v>238.98991427083334</v>
      </c>
      <c r="H88" s="38">
        <v>0.12571428571428708</v>
      </c>
      <c r="I88" s="38">
        <v>0.27181326927313115</v>
      </c>
      <c r="J88" s="42">
        <v>2.7181326927313116</v>
      </c>
      <c r="K88" s="72">
        <v>5.3522503749599597E-2</v>
      </c>
      <c r="L88" s="239">
        <v>4.9708881214040254E-2</v>
      </c>
      <c r="M88" s="327">
        <f>(K88-L88)/L88</f>
        <v>7.6719138359569158E-2</v>
      </c>
      <c r="N88" s="138" t="s">
        <v>261</v>
      </c>
      <c r="O88" s="193">
        <f>STDEV(L86:L88)</f>
        <v>1.9321462045349957E-2</v>
      </c>
      <c r="P88" s="66"/>
    </row>
    <row r="89" spans="1:16" x14ac:dyDescent="0.25">
      <c r="B89" s="17"/>
      <c r="C89" s="17">
        <f>AVERAGE(C86:C88)</f>
        <v>26.8</v>
      </c>
      <c r="D89" s="17">
        <f>AVERAGE(D86:D88)</f>
        <v>174.33333333333334</v>
      </c>
      <c r="E89" s="17"/>
      <c r="F89" s="245"/>
      <c r="G89" s="17">
        <f>AVERAGE(G86:G88)</f>
        <v>244.51077315151954</v>
      </c>
      <c r="K89" s="72"/>
      <c r="N89" s="138" t="s">
        <v>273</v>
      </c>
      <c r="O89" s="137">
        <f>1-(O87-O88)/O87</f>
        <v>0.70519564838891546</v>
      </c>
    </row>
    <row r="90" spans="1:16" x14ac:dyDescent="0.25">
      <c r="B90" s="17"/>
      <c r="C90" s="17"/>
      <c r="D90" s="17"/>
      <c r="E90" s="17"/>
      <c r="F90" s="245"/>
      <c r="G90" s="42"/>
      <c r="K90" s="72"/>
      <c r="N90" s="142" t="s">
        <v>260</v>
      </c>
      <c r="O90" s="231">
        <f>COUNT(B86:B88)</f>
        <v>3</v>
      </c>
    </row>
    <row r="91" spans="1:16" x14ac:dyDescent="0.25">
      <c r="B91" s="17"/>
      <c r="C91" s="17"/>
      <c r="D91" s="17"/>
      <c r="E91" s="17"/>
      <c r="N91" s="100"/>
    </row>
    <row r="92" spans="1:16" x14ac:dyDescent="0.25">
      <c r="B92" s="17"/>
      <c r="C92" s="17"/>
      <c r="D92" s="17"/>
      <c r="E92" s="17"/>
      <c r="N92" s="99" t="s">
        <v>306</v>
      </c>
      <c r="O92" s="326">
        <f>AVERAGE(C86:C88)</f>
        <v>26.8</v>
      </c>
    </row>
    <row r="93" spans="1:16" x14ac:dyDescent="0.25">
      <c r="B93" s="17"/>
      <c r="C93" s="17"/>
      <c r="D93" s="17"/>
      <c r="E93" s="17"/>
      <c r="N93" s="99" t="s">
        <v>307</v>
      </c>
      <c r="O93" s="326">
        <f>AVERAGE(D86:D88)</f>
        <v>174.33333333333334</v>
      </c>
    </row>
    <row r="94" spans="1:16" x14ac:dyDescent="0.25">
      <c r="B94" s="17"/>
      <c r="C94" s="17"/>
      <c r="D94" s="17"/>
      <c r="E94" s="17"/>
      <c r="N94" s="99" t="s">
        <v>308</v>
      </c>
      <c r="O94" s="326">
        <f>AVERAGE(G86:G88)</f>
        <v>244.51077315151954</v>
      </c>
    </row>
    <row r="95" spans="1:16" x14ac:dyDescent="0.25">
      <c r="B95" s="17"/>
      <c r="C95" s="17"/>
      <c r="D95" s="17"/>
      <c r="E95" s="17"/>
      <c r="N95" s="100"/>
    </row>
    <row r="96" spans="1:16" x14ac:dyDescent="0.25">
      <c r="A96" s="138" t="s">
        <v>250</v>
      </c>
      <c r="C96" s="17"/>
      <c r="D96" s="17"/>
      <c r="E96" s="17"/>
      <c r="F96" s="245"/>
      <c r="G96" s="42"/>
      <c r="K96" s="251"/>
      <c r="L96" s="240" t="s">
        <v>325</v>
      </c>
      <c r="N96" s="138" t="s">
        <v>250</v>
      </c>
    </row>
    <row r="97" spans="2:16" x14ac:dyDescent="0.25">
      <c r="B97" s="17"/>
      <c r="C97" s="17"/>
      <c r="D97" s="17"/>
      <c r="E97" s="17"/>
      <c r="F97" s="245"/>
      <c r="G97" s="42"/>
      <c r="K97" s="251"/>
      <c r="L97" s="240" t="s">
        <v>326</v>
      </c>
    </row>
    <row r="98" spans="2:16" x14ac:dyDescent="0.25">
      <c r="B98" s="99" t="s">
        <v>21</v>
      </c>
      <c r="C98" s="99" t="s">
        <v>58</v>
      </c>
      <c r="D98" s="99" t="s">
        <v>59</v>
      </c>
      <c r="E98" s="99" t="s">
        <v>60</v>
      </c>
      <c r="F98" s="246" t="s">
        <v>191</v>
      </c>
      <c r="G98" s="99" t="s">
        <v>182</v>
      </c>
      <c r="H98" s="464" t="s">
        <v>30</v>
      </c>
      <c r="I98" s="464"/>
      <c r="J98" s="464"/>
      <c r="K98" s="101" t="s">
        <v>181</v>
      </c>
      <c r="L98" s="241" t="s">
        <v>181</v>
      </c>
      <c r="N98" s="138" t="s">
        <v>258</v>
      </c>
      <c r="O98" s="5">
        <f>AVERAGE(J102:J105)</f>
        <v>7.9959629145778246</v>
      </c>
      <c r="P98" s="1" t="s">
        <v>301</v>
      </c>
    </row>
    <row r="99" spans="2:16" x14ac:dyDescent="0.25">
      <c r="B99" s="99"/>
      <c r="C99" s="99"/>
      <c r="D99" s="99"/>
      <c r="E99" s="99"/>
      <c r="F99" s="246"/>
      <c r="G99" s="99" t="s">
        <v>183</v>
      </c>
      <c r="H99" s="94" t="s">
        <v>9</v>
      </c>
      <c r="I99" s="94" t="s">
        <v>15</v>
      </c>
      <c r="J99" s="252" t="s">
        <v>20</v>
      </c>
      <c r="K99" s="250" t="s">
        <v>20</v>
      </c>
      <c r="L99" s="240" t="s">
        <v>20</v>
      </c>
      <c r="N99" s="138" t="s">
        <v>261</v>
      </c>
      <c r="O99" s="5">
        <f>STDEV(J102:J105)</f>
        <v>1.0554575304365066</v>
      </c>
    </row>
    <row r="100" spans="2:16" x14ac:dyDescent="0.25">
      <c r="B100" s="17"/>
      <c r="C100" s="92" t="s">
        <v>74</v>
      </c>
      <c r="D100" s="92" t="s">
        <v>75</v>
      </c>
      <c r="E100" s="92" t="s">
        <v>76</v>
      </c>
      <c r="F100" s="247"/>
      <c r="G100" s="92" t="s">
        <v>246</v>
      </c>
      <c r="H100" s="95" t="s">
        <v>1</v>
      </c>
      <c r="L100" s="487" t="s">
        <v>327</v>
      </c>
      <c r="N100" s="145" t="s">
        <v>273</v>
      </c>
      <c r="O100" s="137">
        <f>1-(O98-O99)/O98</f>
        <v>0.13199880260978347</v>
      </c>
    </row>
    <row r="101" spans="2:16" x14ac:dyDescent="0.25">
      <c r="N101" s="138" t="s">
        <v>260</v>
      </c>
      <c r="O101" s="231">
        <v>4</v>
      </c>
    </row>
    <row r="102" spans="2:16" x14ac:dyDescent="0.25">
      <c r="B102" s="17">
        <v>44</v>
      </c>
      <c r="C102" s="17">
        <v>29.3</v>
      </c>
      <c r="D102" s="17">
        <v>235</v>
      </c>
      <c r="E102" s="17">
        <v>79.83</v>
      </c>
      <c r="F102" s="245">
        <f>C102*D102</f>
        <v>6885.5</v>
      </c>
      <c r="G102" s="42">
        <v>407.34563122416387</v>
      </c>
      <c r="H102" s="38">
        <v>0.46899661781285673</v>
      </c>
      <c r="I102" s="38">
        <v>0.660808943675119</v>
      </c>
      <c r="J102" s="42">
        <v>6.6080894367511904</v>
      </c>
      <c r="K102" s="193">
        <v>7.7412073369632602E-4</v>
      </c>
      <c r="L102" s="239">
        <v>2.3509548957672286E-4</v>
      </c>
      <c r="M102" s="327">
        <f>(K102-L102)/L102</f>
        <v>2.2927927927927922</v>
      </c>
      <c r="N102" s="138"/>
    </row>
    <row r="103" spans="2:16" x14ac:dyDescent="0.25">
      <c r="B103" s="17">
        <v>48</v>
      </c>
      <c r="C103" s="17">
        <v>29.2</v>
      </c>
      <c r="D103" s="17">
        <v>249</v>
      </c>
      <c r="E103" s="17">
        <v>77.819999999999993</v>
      </c>
      <c r="F103" s="245">
        <f>C103*D103</f>
        <v>7270.8</v>
      </c>
      <c r="G103" s="42">
        <v>416.72518180978551</v>
      </c>
      <c r="H103" s="38">
        <v>0.60138781804163821</v>
      </c>
      <c r="I103" s="38">
        <v>0.82827422392155026</v>
      </c>
      <c r="J103" s="42">
        <v>8.2827422392155032</v>
      </c>
      <c r="K103" s="192">
        <v>6.8916662990395241E-4</v>
      </c>
      <c r="L103" s="239">
        <v>4.1626089202210993E-4</v>
      </c>
      <c r="N103" s="138" t="s">
        <v>259</v>
      </c>
      <c r="O103" s="192">
        <f>AVERAGE(L102:L105)</f>
        <v>3.5092957927851127E-4</v>
      </c>
      <c r="P103" s="1" t="s">
        <v>301</v>
      </c>
    </row>
    <row r="104" spans="2:16" x14ac:dyDescent="0.25">
      <c r="B104" s="17">
        <v>49</v>
      </c>
      <c r="C104" s="17">
        <v>29</v>
      </c>
      <c r="D104" s="17">
        <v>257</v>
      </c>
      <c r="E104" s="17">
        <v>79.31</v>
      </c>
      <c r="F104" s="245">
        <f>C104*D104</f>
        <v>7453</v>
      </c>
      <c r="G104" s="42">
        <v>407.77588647396288</v>
      </c>
      <c r="H104" s="38">
        <v>0.56436767116378661</v>
      </c>
      <c r="I104" s="38">
        <v>0.79434625398561909</v>
      </c>
      <c r="J104" s="42">
        <v>7.9434625398561911</v>
      </c>
      <c r="K104" s="192">
        <v>1.0424463574422553E-3</v>
      </c>
      <c r="L104" s="239">
        <v>4.0143235623670096E-4</v>
      </c>
      <c r="N104" s="138" t="s">
        <v>261</v>
      </c>
      <c r="O104" s="193">
        <f>STDEV(L102:L104)</f>
        <v>1.0058888418292679E-4</v>
      </c>
      <c r="P104" s="66"/>
    </row>
    <row r="105" spans="2:16" x14ac:dyDescent="0.25">
      <c r="B105" s="17">
        <v>50</v>
      </c>
      <c r="C105" s="17">
        <v>29.4</v>
      </c>
      <c r="D105" s="17">
        <v>233</v>
      </c>
      <c r="E105" s="17">
        <v>76.16</v>
      </c>
      <c r="F105" s="245">
        <f>C105*D105</f>
        <v>6850.2</v>
      </c>
      <c r="G105" s="42">
        <v>419.73159363921349</v>
      </c>
      <c r="H105" s="38">
        <v>0.66911764705882781</v>
      </c>
      <c r="I105" s="38">
        <v>0.9149557442488413</v>
      </c>
      <c r="J105" s="42">
        <v>9.1495574424884119</v>
      </c>
      <c r="K105" s="192">
        <v>1.5921953571425966E-3</v>
      </c>
      <c r="N105" s="138" t="s">
        <v>273</v>
      </c>
      <c r="O105" s="137">
        <f>1-(O103-O104)/O103</f>
        <v>0.28663552496694944</v>
      </c>
    </row>
    <row r="106" spans="2:16" x14ac:dyDescent="0.25">
      <c r="B106" s="17"/>
      <c r="C106" s="17"/>
      <c r="D106" s="17"/>
      <c r="E106" s="17"/>
      <c r="F106" s="245"/>
      <c r="N106" s="142" t="s">
        <v>260</v>
      </c>
      <c r="O106" s="231">
        <v>3</v>
      </c>
    </row>
    <row r="107" spans="2:16" x14ac:dyDescent="0.25">
      <c r="B107" s="17"/>
      <c r="C107" s="17"/>
      <c r="D107" s="17"/>
      <c r="E107" s="17"/>
      <c r="F107" s="245"/>
      <c r="N107" s="17"/>
    </row>
    <row r="108" spans="2:16" x14ac:dyDescent="0.25">
      <c r="B108" s="17"/>
      <c r="C108" s="17"/>
      <c r="D108" s="17"/>
      <c r="E108" s="17"/>
      <c r="F108" s="245"/>
      <c r="N108" s="99" t="s">
        <v>306</v>
      </c>
      <c r="O108" s="326">
        <f>AVERAGE(C102:C104)</f>
        <v>29.166666666666668</v>
      </c>
    </row>
    <row r="109" spans="2:16" x14ac:dyDescent="0.25">
      <c r="B109" s="17"/>
      <c r="C109" s="17"/>
      <c r="D109" s="17"/>
      <c r="E109" s="17"/>
      <c r="F109" s="245"/>
      <c r="N109" s="99" t="s">
        <v>307</v>
      </c>
      <c r="O109" s="326">
        <f>AVERAGE(D102:D104)</f>
        <v>247</v>
      </c>
    </row>
    <row r="110" spans="2:16" x14ac:dyDescent="0.25">
      <c r="B110" s="17"/>
      <c r="C110" s="17"/>
      <c r="D110" s="17"/>
      <c r="E110" s="17"/>
      <c r="F110" s="245"/>
      <c r="N110" s="99" t="s">
        <v>308</v>
      </c>
      <c r="O110" s="326">
        <f>AVERAGE(G102:G104)</f>
        <v>410.61556650263742</v>
      </c>
    </row>
    <row r="111" spans="2:16" x14ac:dyDescent="0.25">
      <c r="B111" s="17"/>
      <c r="C111" s="17"/>
      <c r="D111" s="17"/>
      <c r="E111" s="17"/>
      <c r="F111" s="245"/>
      <c r="N111" s="17"/>
    </row>
    <row r="112" spans="2:16" x14ac:dyDescent="0.25">
      <c r="B112" s="17"/>
      <c r="C112" s="17"/>
      <c r="D112" s="17"/>
      <c r="E112" s="17"/>
      <c r="F112" s="245"/>
      <c r="N112" s="17"/>
    </row>
    <row r="113" spans="1:20" x14ac:dyDescent="0.25">
      <c r="A113" s="138" t="s">
        <v>251</v>
      </c>
      <c r="C113" s="17"/>
      <c r="D113" s="17"/>
      <c r="E113" s="17"/>
      <c r="F113" s="245"/>
      <c r="G113" s="42"/>
      <c r="K113" s="251"/>
      <c r="L113" s="240" t="s">
        <v>325</v>
      </c>
      <c r="N113" s="138" t="s">
        <v>251</v>
      </c>
    </row>
    <row r="114" spans="1:20" x14ac:dyDescent="0.25">
      <c r="B114" s="17"/>
      <c r="C114" s="17"/>
      <c r="D114" s="17"/>
      <c r="E114" s="17"/>
      <c r="F114" s="245"/>
      <c r="G114" s="42"/>
      <c r="K114" s="251"/>
      <c r="L114" s="240" t="s">
        <v>326</v>
      </c>
      <c r="N114" s="100"/>
    </row>
    <row r="115" spans="1:20" x14ac:dyDescent="0.25">
      <c r="B115" s="99" t="s">
        <v>21</v>
      </c>
      <c r="C115" s="99" t="s">
        <v>58</v>
      </c>
      <c r="D115" s="99" t="s">
        <v>59</v>
      </c>
      <c r="E115" s="99" t="s">
        <v>60</v>
      </c>
      <c r="F115" s="246" t="s">
        <v>191</v>
      </c>
      <c r="G115" s="99" t="s">
        <v>182</v>
      </c>
      <c r="H115" s="464" t="s">
        <v>30</v>
      </c>
      <c r="I115" s="464"/>
      <c r="J115" s="464"/>
      <c r="K115" s="101" t="s">
        <v>181</v>
      </c>
      <c r="L115" s="241" t="s">
        <v>181</v>
      </c>
      <c r="N115" s="138" t="s">
        <v>258</v>
      </c>
      <c r="O115" s="5">
        <f>AVERAGE(J119:J124)</f>
        <v>8.1924144295097108</v>
      </c>
      <c r="P115" s="1" t="s">
        <v>301</v>
      </c>
    </row>
    <row r="116" spans="1:20" x14ac:dyDescent="0.25">
      <c r="B116" s="99"/>
      <c r="C116" s="99"/>
      <c r="D116" s="99"/>
      <c r="E116" s="99"/>
      <c r="F116" s="246"/>
      <c r="G116" s="99" t="s">
        <v>183</v>
      </c>
      <c r="H116" s="94" t="s">
        <v>9</v>
      </c>
      <c r="I116" s="94" t="s">
        <v>15</v>
      </c>
      <c r="J116" s="252" t="s">
        <v>20</v>
      </c>
      <c r="K116" s="250" t="s">
        <v>20</v>
      </c>
      <c r="L116" s="240" t="s">
        <v>20</v>
      </c>
      <c r="N116" s="138" t="s">
        <v>261</v>
      </c>
      <c r="O116" s="5">
        <f>STDEV(J119:J124)</f>
        <v>1.1320416046868043</v>
      </c>
    </row>
    <row r="117" spans="1:20" x14ac:dyDescent="0.25">
      <c r="C117" s="92" t="s">
        <v>74</v>
      </c>
      <c r="D117" s="92" t="s">
        <v>75</v>
      </c>
      <c r="E117" s="92" t="s">
        <v>76</v>
      </c>
      <c r="F117" s="247"/>
      <c r="G117" s="92" t="s">
        <v>246</v>
      </c>
      <c r="H117" s="95" t="s">
        <v>1</v>
      </c>
      <c r="N117" s="145" t="s">
        <v>273</v>
      </c>
      <c r="O117" s="137">
        <f>1-(O115-O116)/O115</f>
        <v>0.13818168189942925</v>
      </c>
    </row>
    <row r="118" spans="1:20" x14ac:dyDescent="0.25">
      <c r="N118" s="138" t="s">
        <v>260</v>
      </c>
      <c r="O118" s="231">
        <v>6</v>
      </c>
      <c r="Q118" s="97"/>
    </row>
    <row r="119" spans="1:20" x14ac:dyDescent="0.25">
      <c r="B119" s="17">
        <v>43</v>
      </c>
      <c r="C119" s="17">
        <v>25.9</v>
      </c>
      <c r="D119" s="17">
        <v>153</v>
      </c>
      <c r="E119" s="17">
        <v>106.5</v>
      </c>
      <c r="F119" s="245">
        <f t="shared" ref="F119:F124" si="3">C119*D119</f>
        <v>3962.7</v>
      </c>
      <c r="G119" s="42">
        <v>264.2420110035211</v>
      </c>
      <c r="H119" s="38">
        <v>0.34422535211267641</v>
      </c>
      <c r="I119" s="38">
        <v>0.75422446880577054</v>
      </c>
      <c r="J119" s="42">
        <v>7.5422446880577061</v>
      </c>
      <c r="K119" s="72">
        <v>1.5876980552831113E-2</v>
      </c>
      <c r="L119" s="239">
        <v>1.5365934840743408E-2</v>
      </c>
      <c r="M119" s="327">
        <f>(K119-L119)/L119</f>
        <v>3.3258354755783939E-2</v>
      </c>
      <c r="N119" s="138"/>
      <c r="Q119" s="97"/>
      <c r="T119" s="145" t="s">
        <v>385</v>
      </c>
    </row>
    <row r="120" spans="1:20" x14ac:dyDescent="0.25">
      <c r="B120" s="17">
        <v>45</v>
      </c>
      <c r="C120" s="17">
        <v>26.2</v>
      </c>
      <c r="D120" s="17">
        <v>146</v>
      </c>
      <c r="E120" s="17">
        <v>91.69</v>
      </c>
      <c r="F120" s="245">
        <f t="shared" si="3"/>
        <v>3825.2</v>
      </c>
      <c r="G120" s="42">
        <v>266.44967809330353</v>
      </c>
      <c r="H120" s="38">
        <v>0.32980695822881306</v>
      </c>
      <c r="I120" s="38">
        <v>0.71664528035193542</v>
      </c>
      <c r="J120" s="42">
        <v>7.1664528035193538</v>
      </c>
      <c r="K120" s="72">
        <v>1.5103583666464864E-2</v>
      </c>
      <c r="N120" s="138" t="s">
        <v>259</v>
      </c>
      <c r="O120" s="192">
        <f>AVERAGE(K119:K124,L119)</f>
        <v>1.4673753655946182E-2</v>
      </c>
      <c r="P120" s="1" t="s">
        <v>301</v>
      </c>
      <c r="Q120" s="97"/>
      <c r="T120" s="385">
        <f>O103/230</f>
        <v>1.5257807794717882E-6</v>
      </c>
    </row>
    <row r="121" spans="1:20" x14ac:dyDescent="0.25">
      <c r="B121" s="17">
        <v>46</v>
      </c>
      <c r="C121" s="17">
        <v>25.8</v>
      </c>
      <c r="D121" s="17">
        <v>146</v>
      </c>
      <c r="E121" s="17">
        <v>92.59</v>
      </c>
      <c r="F121" s="245">
        <f t="shared" si="3"/>
        <v>3766.8</v>
      </c>
      <c r="G121" s="42">
        <v>262.05809535391398</v>
      </c>
      <c r="H121" s="38">
        <v>0.33437736256615069</v>
      </c>
      <c r="I121" s="38">
        <v>0.73875242337592861</v>
      </c>
      <c r="J121" s="42">
        <v>7.3875242337592857</v>
      </c>
      <c r="K121" s="72">
        <v>1.3947531218078141E-2</v>
      </c>
      <c r="N121" s="138" t="s">
        <v>261</v>
      </c>
      <c r="O121" s="193">
        <f>STDEV(K119:K124,L119)</f>
        <v>9.0656180565374929E-4</v>
      </c>
      <c r="P121" s="66"/>
      <c r="Q121" s="97"/>
    </row>
    <row r="122" spans="1:20" x14ac:dyDescent="0.25">
      <c r="B122" s="17">
        <v>47</v>
      </c>
      <c r="C122" s="17">
        <v>25.7</v>
      </c>
      <c r="D122" s="17">
        <v>155</v>
      </c>
      <c r="E122" s="17">
        <v>91.38</v>
      </c>
      <c r="F122" s="245">
        <f t="shared" si="3"/>
        <v>3983.5</v>
      </c>
      <c r="G122" s="42">
        <v>262.22552542553984</v>
      </c>
      <c r="H122" s="38">
        <v>0.35325016414970239</v>
      </c>
      <c r="I122" s="38">
        <v>0.77995049654409965</v>
      </c>
      <c r="J122" s="42">
        <v>7.7995049654409963</v>
      </c>
      <c r="K122" s="72">
        <v>1.4916190815877863E-2</v>
      </c>
      <c r="N122" s="138" t="s">
        <v>273</v>
      </c>
      <c r="O122" s="137">
        <f>1-(O120-O121)/O120</f>
        <v>6.178117930216076E-2</v>
      </c>
    </row>
    <row r="123" spans="1:20" x14ac:dyDescent="0.25">
      <c r="B123" s="17">
        <v>51</v>
      </c>
      <c r="C123" s="17">
        <v>26.2</v>
      </c>
      <c r="D123" s="17">
        <v>147</v>
      </c>
      <c r="E123" s="17">
        <v>88.5</v>
      </c>
      <c r="F123" s="245">
        <f t="shared" si="3"/>
        <v>3851.4</v>
      </c>
      <c r="G123" s="42">
        <v>265.30286617732105</v>
      </c>
      <c r="H123" s="38">
        <v>0.44067796610169635</v>
      </c>
      <c r="I123" s="38">
        <v>0.96169869187606594</v>
      </c>
      <c r="J123" s="42">
        <v>9.6169869187606594</v>
      </c>
      <c r="K123" s="192">
        <v>1.4271608587440773E-2</v>
      </c>
      <c r="N123" s="142" t="s">
        <v>260</v>
      </c>
      <c r="O123" s="231">
        <v>6</v>
      </c>
    </row>
    <row r="124" spans="1:20" x14ac:dyDescent="0.25">
      <c r="B124" s="17">
        <v>52</v>
      </c>
      <c r="C124" s="17">
        <v>26.4</v>
      </c>
      <c r="D124" s="17">
        <v>149</v>
      </c>
      <c r="E124" s="17">
        <v>87.84</v>
      </c>
      <c r="F124" s="245">
        <f t="shared" si="3"/>
        <v>3933.6</v>
      </c>
      <c r="G124" s="42">
        <v>266.60912510936134</v>
      </c>
      <c r="H124" s="38">
        <v>0.44398907103824914</v>
      </c>
      <c r="I124" s="38">
        <v>0.96417729675202724</v>
      </c>
      <c r="J124" s="42">
        <v>9.6417729675202715</v>
      </c>
      <c r="K124" s="192">
        <v>1.3234445910187119E-2</v>
      </c>
    </row>
    <row r="125" spans="1:20" x14ac:dyDescent="0.25">
      <c r="N125" s="99" t="s">
        <v>306</v>
      </c>
      <c r="O125" s="326">
        <f>AVERAGE(C119:C124)</f>
        <v>26.033333333333331</v>
      </c>
    </row>
    <row r="126" spans="1:20" x14ac:dyDescent="0.25">
      <c r="N126" s="99" t="s">
        <v>307</v>
      </c>
      <c r="O126" s="326">
        <f>AVERAGE(D119:D124)</f>
        <v>149.33333333333334</v>
      </c>
    </row>
    <row r="127" spans="1:20" x14ac:dyDescent="0.25">
      <c r="N127" s="99" t="s">
        <v>308</v>
      </c>
      <c r="O127" s="326">
        <f>AVERAGE(G119:G124)</f>
        <v>264.48121686049348</v>
      </c>
    </row>
    <row r="128" spans="1:20" x14ac:dyDescent="0.25">
      <c r="N128" s="99"/>
    </row>
    <row r="129" spans="1:20" x14ac:dyDescent="0.25">
      <c r="N129" s="99"/>
    </row>
    <row r="130" spans="1:20" x14ac:dyDescent="0.25">
      <c r="A130" s="138" t="s">
        <v>252</v>
      </c>
      <c r="C130" s="17"/>
      <c r="D130" s="17"/>
      <c r="E130" s="17"/>
      <c r="F130" s="245"/>
      <c r="G130" s="42"/>
      <c r="K130" s="251"/>
      <c r="L130" s="240" t="s">
        <v>325</v>
      </c>
      <c r="N130" s="138" t="s">
        <v>252</v>
      </c>
    </row>
    <row r="131" spans="1:20" x14ac:dyDescent="0.25">
      <c r="B131" s="17"/>
      <c r="C131" s="17"/>
      <c r="D131" s="17"/>
      <c r="E131" s="17"/>
      <c r="F131" s="245"/>
      <c r="G131" s="42"/>
      <c r="K131" s="251"/>
      <c r="L131" s="240" t="s">
        <v>326</v>
      </c>
    </row>
    <row r="132" spans="1:20" x14ac:dyDescent="0.25">
      <c r="B132" s="99" t="s">
        <v>21</v>
      </c>
      <c r="C132" s="99" t="s">
        <v>58</v>
      </c>
      <c r="D132" s="99" t="s">
        <v>59</v>
      </c>
      <c r="E132" s="99" t="s">
        <v>60</v>
      </c>
      <c r="F132" s="246" t="s">
        <v>191</v>
      </c>
      <c r="G132" s="99" t="s">
        <v>182</v>
      </c>
      <c r="H132" s="464" t="s">
        <v>30</v>
      </c>
      <c r="I132" s="464"/>
      <c r="J132" s="464"/>
      <c r="K132" s="101" t="s">
        <v>181</v>
      </c>
      <c r="L132" s="241" t="s">
        <v>181</v>
      </c>
      <c r="N132" s="138" t="s">
        <v>258</v>
      </c>
      <c r="O132" s="5">
        <f>AVERAGE(J136:J139)</f>
        <v>4.649549518343032</v>
      </c>
      <c r="P132" s="1" t="s">
        <v>301</v>
      </c>
    </row>
    <row r="133" spans="1:20" x14ac:dyDescent="0.25">
      <c r="B133" s="99"/>
      <c r="C133" s="99"/>
      <c r="D133" s="99"/>
      <c r="E133" s="99"/>
      <c r="F133" s="246"/>
      <c r="G133" s="99" t="s">
        <v>183</v>
      </c>
      <c r="H133" s="94" t="s">
        <v>9</v>
      </c>
      <c r="I133" s="94" t="s">
        <v>15</v>
      </c>
      <c r="J133" s="252" t="s">
        <v>20</v>
      </c>
      <c r="K133" s="250" t="s">
        <v>20</v>
      </c>
      <c r="L133" s="240" t="s">
        <v>20</v>
      </c>
      <c r="N133" s="138" t="s">
        <v>261</v>
      </c>
      <c r="O133" s="5">
        <f>STDEV(J136:J139)</f>
        <v>0.2774855829065303</v>
      </c>
    </row>
    <row r="134" spans="1:20" x14ac:dyDescent="0.25">
      <c r="C134" s="92" t="s">
        <v>374</v>
      </c>
      <c r="D134" s="92" t="s">
        <v>375</v>
      </c>
      <c r="E134" s="92" t="s">
        <v>376</v>
      </c>
      <c r="F134" s="247" t="s">
        <v>246</v>
      </c>
      <c r="G134" s="95" t="s">
        <v>1</v>
      </c>
      <c r="N134" s="145" t="s">
        <v>273</v>
      </c>
      <c r="O134" s="137">
        <f>1-(O132-O133)/O132</f>
        <v>5.9680100580027484E-2</v>
      </c>
    </row>
    <row r="135" spans="1:20" x14ac:dyDescent="0.25">
      <c r="N135" s="138" t="s">
        <v>260</v>
      </c>
      <c r="O135" s="231">
        <v>4</v>
      </c>
    </row>
    <row r="136" spans="1:20" x14ac:dyDescent="0.25">
      <c r="B136" s="17">
        <v>24</v>
      </c>
      <c r="C136" s="17" t="s">
        <v>56</v>
      </c>
      <c r="D136" s="17">
        <v>150</v>
      </c>
      <c r="E136" s="17">
        <v>60.08</v>
      </c>
      <c r="F136" s="245" t="s">
        <v>107</v>
      </c>
      <c r="G136" s="17" t="s">
        <v>42</v>
      </c>
      <c r="H136" s="38">
        <v>0.24567243675099734</v>
      </c>
      <c r="I136" s="38">
        <v>0.48161540856061341</v>
      </c>
      <c r="J136" s="42">
        <v>4.8161540856061338</v>
      </c>
      <c r="K136" s="72">
        <v>0.21496492625998229</v>
      </c>
      <c r="N136" s="138"/>
      <c r="T136" s="145" t="s">
        <v>385</v>
      </c>
    </row>
    <row r="137" spans="1:20" x14ac:dyDescent="0.25">
      <c r="B137" s="17">
        <v>25</v>
      </c>
      <c r="C137" s="17" t="s">
        <v>56</v>
      </c>
      <c r="D137" s="17">
        <v>150</v>
      </c>
      <c r="E137" s="17">
        <v>123.66</v>
      </c>
      <c r="F137" s="245" t="s">
        <v>107</v>
      </c>
      <c r="G137" s="17" t="s">
        <v>42</v>
      </c>
      <c r="H137" s="38">
        <v>0.20232896652110532</v>
      </c>
      <c r="I137" s="38">
        <v>0.42503355930441067</v>
      </c>
      <c r="J137" s="42">
        <v>4.2503355930441069</v>
      </c>
      <c r="K137" s="72">
        <v>0.1806749369839333</v>
      </c>
      <c r="N137" s="138" t="s">
        <v>259</v>
      </c>
      <c r="O137" s="192">
        <f>AVERAGE(K136:K139,L139)</f>
        <v>0.17934039376793354</v>
      </c>
      <c r="P137" s="1" t="s">
        <v>301</v>
      </c>
      <c r="T137" s="385">
        <f>O137/180</f>
        <v>9.9633552093296419E-4</v>
      </c>
    </row>
    <row r="138" spans="1:20" x14ac:dyDescent="0.25">
      <c r="B138" s="17">
        <v>26</v>
      </c>
      <c r="C138" s="17" t="s">
        <v>56</v>
      </c>
      <c r="D138" s="17">
        <v>150</v>
      </c>
      <c r="E138" s="17">
        <v>128</v>
      </c>
      <c r="F138" s="245" t="s">
        <v>107</v>
      </c>
      <c r="G138" s="17" t="s">
        <v>42</v>
      </c>
      <c r="H138" s="38">
        <v>0.22218750000000176</v>
      </c>
      <c r="I138" s="38">
        <v>0.46741690037512057</v>
      </c>
      <c r="J138" s="42">
        <v>4.6741690037512056</v>
      </c>
      <c r="K138" s="72">
        <v>0.15657480050962247</v>
      </c>
      <c r="N138" s="138" t="s">
        <v>261</v>
      </c>
      <c r="O138" s="193">
        <f>STDEV(K136:K139,L139)</f>
        <v>2.1788927896296096E-2</v>
      </c>
      <c r="P138" s="66"/>
    </row>
    <row r="139" spans="1:20" x14ac:dyDescent="0.25">
      <c r="B139" s="17">
        <v>32</v>
      </c>
      <c r="C139" s="17" t="s">
        <v>56</v>
      </c>
      <c r="D139" s="17">
        <v>150</v>
      </c>
      <c r="E139" s="17">
        <v>141</v>
      </c>
      <c r="F139" s="245" t="s">
        <v>107</v>
      </c>
      <c r="G139" s="17" t="s">
        <v>42</v>
      </c>
      <c r="H139" s="38">
        <v>0.20255319148936132</v>
      </c>
      <c r="I139" s="38">
        <v>0.48575393909706827</v>
      </c>
      <c r="J139" s="42">
        <v>4.8575393909706825</v>
      </c>
      <c r="K139" s="72">
        <v>0.1743815821699731</v>
      </c>
      <c r="L139" s="239">
        <v>0.17010572291615644</v>
      </c>
      <c r="M139" s="328">
        <f>(K139-L139)/L139</f>
        <v>2.5136480892675121E-2</v>
      </c>
      <c r="N139" s="138" t="s">
        <v>273</v>
      </c>
      <c r="O139" s="137">
        <f>1-(O137-O138)/O137</f>
        <v>0.12149481462882805</v>
      </c>
    </row>
    <row r="140" spans="1:20" x14ac:dyDescent="0.25">
      <c r="N140" s="142" t="s">
        <v>260</v>
      </c>
      <c r="O140" s="231">
        <v>5</v>
      </c>
    </row>
    <row r="142" spans="1:20" x14ac:dyDescent="0.25">
      <c r="N142" s="99" t="s">
        <v>306</v>
      </c>
    </row>
    <row r="143" spans="1:20" x14ac:dyDescent="0.25">
      <c r="N143" s="99" t="s">
        <v>307</v>
      </c>
      <c r="O143" s="231">
        <f>AVERAGE(D136:D139)</f>
        <v>150</v>
      </c>
    </row>
    <row r="144" spans="1:20" x14ac:dyDescent="0.25">
      <c r="N144" s="99" t="s">
        <v>308</v>
      </c>
    </row>
    <row r="146" spans="1:29" ht="17.399999999999999" x14ac:dyDescent="0.3">
      <c r="A146" s="144" t="s">
        <v>255</v>
      </c>
    </row>
    <row r="147" spans="1:29" x14ac:dyDescent="0.25">
      <c r="A147" s="18"/>
    </row>
    <row r="148" spans="1:29" ht="13.8" x14ac:dyDescent="0.25">
      <c r="A148" s="141" t="s">
        <v>262</v>
      </c>
      <c r="N148" s="141" t="s">
        <v>372</v>
      </c>
    </row>
    <row r="149" spans="1:29" x14ac:dyDescent="0.25">
      <c r="A149" s="18"/>
    </row>
    <row r="150" spans="1:29" x14ac:dyDescent="0.25">
      <c r="A150" s="138" t="s">
        <v>251</v>
      </c>
      <c r="C150" s="17"/>
      <c r="D150" s="17"/>
      <c r="E150" s="17"/>
      <c r="F150" s="245"/>
      <c r="G150" s="42"/>
      <c r="K150" s="251"/>
      <c r="L150" s="240" t="s">
        <v>325</v>
      </c>
      <c r="N150" s="138" t="s">
        <v>248</v>
      </c>
    </row>
    <row r="151" spans="1:29" x14ac:dyDescent="0.25">
      <c r="K151" s="251"/>
      <c r="L151" s="240" t="s">
        <v>326</v>
      </c>
      <c r="O151" s="17"/>
      <c r="P151" s="17"/>
      <c r="Q151" s="17"/>
      <c r="R151" s="17"/>
      <c r="S151" s="245"/>
      <c r="T151" s="17"/>
      <c r="U151" s="38"/>
      <c r="V151" s="38"/>
      <c r="W151" s="42"/>
      <c r="X151" s="251"/>
      <c r="Y151" s="240" t="s">
        <v>326</v>
      </c>
      <c r="Z151" s="99" t="s">
        <v>82</v>
      </c>
      <c r="AA151" s="391" t="s">
        <v>326</v>
      </c>
      <c r="AB151" s="392"/>
      <c r="AC151" s="391" t="s">
        <v>326</v>
      </c>
    </row>
    <row r="152" spans="1:29" x14ac:dyDescent="0.25">
      <c r="B152" s="17"/>
      <c r="C152" s="17"/>
      <c r="D152" s="17"/>
      <c r="E152" s="17"/>
      <c r="F152" s="245"/>
      <c r="G152" s="99" t="s">
        <v>182</v>
      </c>
      <c r="H152" s="464" t="s">
        <v>30</v>
      </c>
      <c r="I152" s="464"/>
      <c r="J152" s="464"/>
      <c r="K152" s="101" t="s">
        <v>181</v>
      </c>
      <c r="L152" s="241" t="s">
        <v>181</v>
      </c>
      <c r="M152" s="99" t="s">
        <v>256</v>
      </c>
      <c r="O152" s="17"/>
      <c r="P152" s="17"/>
      <c r="Q152" s="17"/>
      <c r="R152" s="17"/>
      <c r="S152" s="245"/>
      <c r="T152" s="99" t="s">
        <v>182</v>
      </c>
      <c r="U152" s="464" t="s">
        <v>30</v>
      </c>
      <c r="V152" s="464"/>
      <c r="W152" s="464"/>
      <c r="X152" s="101" t="s">
        <v>181</v>
      </c>
      <c r="Y152" s="241" t="s">
        <v>181</v>
      </c>
      <c r="Z152" s="103" t="s">
        <v>378</v>
      </c>
      <c r="AA152" s="391" t="s">
        <v>181</v>
      </c>
      <c r="AB152" s="392"/>
      <c r="AC152" s="391" t="s">
        <v>181</v>
      </c>
    </row>
    <row r="153" spans="1:29" x14ac:dyDescent="0.25">
      <c r="B153" s="99" t="s">
        <v>21</v>
      </c>
      <c r="C153" s="99" t="s">
        <v>58</v>
      </c>
      <c r="D153" s="99" t="s">
        <v>59</v>
      </c>
      <c r="E153" s="99" t="s">
        <v>60</v>
      </c>
      <c r="F153" s="246" t="s">
        <v>191</v>
      </c>
      <c r="G153" s="99" t="s">
        <v>183</v>
      </c>
      <c r="H153" s="94" t="s">
        <v>9</v>
      </c>
      <c r="I153" s="94" t="s">
        <v>15</v>
      </c>
      <c r="J153" s="252" t="s">
        <v>20</v>
      </c>
      <c r="K153" s="250" t="s">
        <v>20</v>
      </c>
      <c r="L153" s="240" t="s">
        <v>20</v>
      </c>
      <c r="M153" s="103" t="s">
        <v>257</v>
      </c>
      <c r="O153" s="99" t="s">
        <v>21</v>
      </c>
      <c r="P153" s="99" t="s">
        <v>58</v>
      </c>
      <c r="Q153" s="99" t="s">
        <v>59</v>
      </c>
      <c r="R153" s="99" t="s">
        <v>60</v>
      </c>
      <c r="S153" s="246" t="s">
        <v>191</v>
      </c>
      <c r="T153" s="99" t="s">
        <v>183</v>
      </c>
      <c r="U153" s="94" t="s">
        <v>9</v>
      </c>
      <c r="V153" s="94" t="s">
        <v>15</v>
      </c>
      <c r="W153" s="252" t="s">
        <v>301</v>
      </c>
      <c r="X153" s="252" t="s">
        <v>301</v>
      </c>
      <c r="Y153" s="252" t="s">
        <v>301</v>
      </c>
      <c r="Z153" s="252" t="s">
        <v>380</v>
      </c>
      <c r="AA153" s="391" t="s">
        <v>301</v>
      </c>
      <c r="AB153" s="392" t="s">
        <v>191</v>
      </c>
      <c r="AC153" s="391" t="s">
        <v>301</v>
      </c>
    </row>
    <row r="154" spans="1:29" x14ac:dyDescent="0.25">
      <c r="B154" s="99"/>
      <c r="C154" s="99" t="s">
        <v>374</v>
      </c>
      <c r="D154" s="99" t="s">
        <v>375</v>
      </c>
      <c r="E154" s="99" t="s">
        <v>376</v>
      </c>
      <c r="F154" s="246" t="s">
        <v>377</v>
      </c>
      <c r="G154" s="99" t="s">
        <v>313</v>
      </c>
      <c r="H154" s="94" t="s">
        <v>299</v>
      </c>
      <c r="M154" s="103" t="s">
        <v>373</v>
      </c>
      <c r="O154" s="99"/>
      <c r="P154" s="99" t="s">
        <v>374</v>
      </c>
      <c r="Q154" s="99" t="s">
        <v>375</v>
      </c>
      <c r="R154" s="99" t="s">
        <v>376</v>
      </c>
      <c r="S154" s="246" t="s">
        <v>377</v>
      </c>
      <c r="T154" s="99" t="s">
        <v>313</v>
      </c>
      <c r="U154" s="94" t="s">
        <v>299</v>
      </c>
      <c r="V154" s="38"/>
      <c r="W154" s="42"/>
      <c r="X154" s="192"/>
      <c r="Y154" s="78"/>
      <c r="Z154" s="103" t="s">
        <v>379</v>
      </c>
      <c r="AA154" s="391"/>
      <c r="AB154" s="103" t="s">
        <v>377</v>
      </c>
      <c r="AC154" s="391"/>
    </row>
    <row r="155" spans="1:29" x14ac:dyDescent="0.25">
      <c r="B155" s="17">
        <v>56</v>
      </c>
      <c r="C155" s="17">
        <v>25.7</v>
      </c>
      <c r="D155" s="17">
        <v>150</v>
      </c>
      <c r="E155" s="329">
        <v>66.260000000000005</v>
      </c>
      <c r="F155" s="245">
        <f t="shared" ref="F155:F162" si="4">C155*D155</f>
        <v>3855</v>
      </c>
      <c r="G155" s="329">
        <v>265.99105447164715</v>
      </c>
      <c r="H155" s="38">
        <v>0.2236643525505615</v>
      </c>
      <c r="I155" s="38">
        <v>0.48684349531890952</v>
      </c>
      <c r="J155" s="42">
        <v>4.8684349531890954</v>
      </c>
      <c r="K155" s="72">
        <v>0.26691638111775634</v>
      </c>
      <c r="L155" s="70">
        <v>0.25717951121137828</v>
      </c>
      <c r="M155" s="1">
        <v>0</v>
      </c>
      <c r="O155" s="231">
        <v>66</v>
      </c>
      <c r="P155" s="1">
        <v>24.3</v>
      </c>
      <c r="Q155" s="1">
        <v>180</v>
      </c>
      <c r="R155" s="326">
        <v>68.31</v>
      </c>
      <c r="S155" s="231">
        <f t="shared" ref="S155:S161" si="5">P155*Q155</f>
        <v>4374</v>
      </c>
      <c r="T155" s="326">
        <v>384.91491004245347</v>
      </c>
      <c r="U155" s="4">
        <v>0.16337285902503601</v>
      </c>
      <c r="V155" s="4">
        <v>0.34109285557750402</v>
      </c>
      <c r="W155" s="5">
        <v>3.4109285557750404</v>
      </c>
      <c r="X155" s="192">
        <v>1.0812276755295301E-2</v>
      </c>
      <c r="Y155" s="192">
        <v>9.3085340586633227E-3</v>
      </c>
      <c r="Z155" s="66">
        <v>100</v>
      </c>
      <c r="AA155" s="192">
        <v>9.3085340586633227E-3</v>
      </c>
      <c r="AB155">
        <v>4374</v>
      </c>
      <c r="AC155" s="192">
        <v>9.3085340586633227E-3</v>
      </c>
    </row>
    <row r="156" spans="1:29" x14ac:dyDescent="0.25">
      <c r="B156" s="17">
        <v>57</v>
      </c>
      <c r="C156" s="17">
        <v>25.5</v>
      </c>
      <c r="D156" s="17">
        <v>155</v>
      </c>
      <c r="E156" s="329">
        <v>76.06</v>
      </c>
      <c r="F156" s="245">
        <f t="shared" si="4"/>
        <v>3952.5</v>
      </c>
      <c r="G156" s="329">
        <v>270.60366180036073</v>
      </c>
      <c r="H156" s="38">
        <v>0.26505390481198937</v>
      </c>
      <c r="I156" s="38">
        <v>0.56710068045553053</v>
      </c>
      <c r="J156" s="42">
        <v>5.6710068045553053</v>
      </c>
      <c r="K156" s="72">
        <v>1.4521828138807757E-2</v>
      </c>
      <c r="L156" s="70">
        <v>1.4312540982925359E-2</v>
      </c>
      <c r="M156" s="1">
        <v>20</v>
      </c>
      <c r="O156" s="231">
        <v>67</v>
      </c>
      <c r="P156" s="1">
        <v>23.4</v>
      </c>
      <c r="Q156" s="1">
        <v>162</v>
      </c>
      <c r="R156" s="326">
        <v>69.5</v>
      </c>
      <c r="S156" s="231">
        <f t="shared" si="5"/>
        <v>3790.7999999999997</v>
      </c>
      <c r="T156" s="326">
        <v>377.70203676483811</v>
      </c>
      <c r="U156" s="4">
        <v>0.31769784172661436</v>
      </c>
      <c r="V156" s="4">
        <v>0.67596216079724525</v>
      </c>
      <c r="W156" s="5">
        <v>6.759621607972452</v>
      </c>
      <c r="X156" s="192">
        <v>1.3026966424929698E-2</v>
      </c>
      <c r="Y156" s="192">
        <v>1.1840358936138865E-2</v>
      </c>
      <c r="Z156" s="66">
        <v>100</v>
      </c>
      <c r="AA156" s="192">
        <v>1.1840358936138865E-2</v>
      </c>
      <c r="AB156">
        <v>3790.8</v>
      </c>
      <c r="AC156" s="192">
        <v>1.1840358936138865E-2</v>
      </c>
    </row>
    <row r="157" spans="1:29" x14ac:dyDescent="0.25">
      <c r="B157" s="17">
        <v>43</v>
      </c>
      <c r="C157" s="17">
        <v>25.9</v>
      </c>
      <c r="D157" s="17">
        <v>153</v>
      </c>
      <c r="E157" s="329">
        <v>106.5</v>
      </c>
      <c r="F157" s="245">
        <f t="shared" si="4"/>
        <v>3962.7</v>
      </c>
      <c r="G157" s="329">
        <v>264.2420110035211</v>
      </c>
      <c r="H157" s="38">
        <v>0.34422535211267641</v>
      </c>
      <c r="I157" s="38">
        <v>0.75422446880577054</v>
      </c>
      <c r="J157" s="42">
        <v>7.5422446880577061</v>
      </c>
      <c r="K157" s="72">
        <v>1.5876980552831113E-2</v>
      </c>
      <c r="L157" s="70">
        <v>1.5365934840743408E-2</v>
      </c>
      <c r="M157" s="1">
        <v>35</v>
      </c>
      <c r="O157" s="231">
        <v>68</v>
      </c>
      <c r="P157" s="1">
        <v>23.7</v>
      </c>
      <c r="Q157" s="1">
        <v>146</v>
      </c>
      <c r="R157" s="326">
        <v>40.22</v>
      </c>
      <c r="S157" s="231">
        <f t="shared" si="5"/>
        <v>3460.2</v>
      </c>
      <c r="T157" s="326">
        <v>407.51404750823593</v>
      </c>
      <c r="U157" s="4">
        <v>0.38786673296867463</v>
      </c>
      <c r="V157" s="4">
        <v>0.76488720472226224</v>
      </c>
      <c r="W157" s="5">
        <v>7.648872047222623</v>
      </c>
      <c r="X157" s="192">
        <v>1.8574991579293595E-2</v>
      </c>
      <c r="Y157" s="192">
        <v>1.4503438151079731E-2</v>
      </c>
      <c r="Z157" s="66">
        <v>95</v>
      </c>
      <c r="AA157" s="192">
        <v>1.4503438151079731E-2</v>
      </c>
      <c r="AB157">
        <v>3460.2</v>
      </c>
      <c r="AC157" s="192">
        <v>1.4503438151079731E-2</v>
      </c>
    </row>
    <row r="158" spans="1:29" x14ac:dyDescent="0.25">
      <c r="B158" s="17">
        <v>45</v>
      </c>
      <c r="C158" s="17">
        <v>26.2</v>
      </c>
      <c r="D158" s="17">
        <v>146</v>
      </c>
      <c r="E158" s="329">
        <v>91.69</v>
      </c>
      <c r="F158" s="245">
        <f t="shared" si="4"/>
        <v>3825.2</v>
      </c>
      <c r="G158" s="329">
        <v>266.44967809330353</v>
      </c>
      <c r="H158" s="38">
        <v>0.32980695822881306</v>
      </c>
      <c r="I158" s="38">
        <v>0.71664528035193542</v>
      </c>
      <c r="J158" s="42">
        <v>7.1664528035193538</v>
      </c>
      <c r="K158" s="72">
        <v>1.5103583666464864E-2</v>
      </c>
      <c r="L158" s="70"/>
      <c r="M158" s="1">
        <v>35</v>
      </c>
      <c r="O158" s="231">
        <v>69</v>
      </c>
      <c r="P158" s="1">
        <v>23.8</v>
      </c>
      <c r="Q158" s="1">
        <v>148</v>
      </c>
      <c r="R158" s="326">
        <v>60.4</v>
      </c>
      <c r="S158" s="231">
        <f t="shared" si="5"/>
        <v>3522.4</v>
      </c>
      <c r="T158" s="326">
        <v>400.95582636589398</v>
      </c>
      <c r="U158" s="4">
        <v>0.26920529801324583</v>
      </c>
      <c r="V158" s="4">
        <v>0.53956593344655623</v>
      </c>
      <c r="W158" s="5">
        <v>5.3956593344655621</v>
      </c>
      <c r="X158" s="192">
        <v>1.2423953596702956E-2</v>
      </c>
      <c r="Y158" s="192">
        <v>1.0150210807049947E-2</v>
      </c>
      <c r="Z158" s="66">
        <v>95</v>
      </c>
      <c r="AA158" s="192">
        <v>1.0150210807049947E-2</v>
      </c>
      <c r="AB158">
        <v>3522.4</v>
      </c>
      <c r="AC158" s="192">
        <v>1.0150210807049947E-2</v>
      </c>
    </row>
    <row r="159" spans="1:29" x14ac:dyDescent="0.25">
      <c r="B159" s="17">
        <v>46</v>
      </c>
      <c r="C159" s="17">
        <v>25.8</v>
      </c>
      <c r="D159" s="17">
        <v>146</v>
      </c>
      <c r="E159" s="329">
        <v>92.59</v>
      </c>
      <c r="F159" s="245">
        <f t="shared" si="4"/>
        <v>3766.8</v>
      </c>
      <c r="G159" s="329">
        <v>262.05809535391398</v>
      </c>
      <c r="H159" s="38">
        <v>0.33437736256615069</v>
      </c>
      <c r="I159" s="38">
        <v>0.73875242337592861</v>
      </c>
      <c r="J159" s="42">
        <v>7.3875242337592857</v>
      </c>
      <c r="K159" s="72">
        <v>1.3947531218078141E-2</v>
      </c>
      <c r="L159" s="70"/>
      <c r="M159" s="1">
        <v>35</v>
      </c>
      <c r="O159" s="231">
        <v>40</v>
      </c>
      <c r="P159" s="1">
        <v>24.4</v>
      </c>
      <c r="Q159" s="1">
        <v>134</v>
      </c>
      <c r="R159" s="326">
        <v>91.03</v>
      </c>
      <c r="S159" s="231">
        <f t="shared" si="5"/>
        <v>3269.6</v>
      </c>
      <c r="T159" s="326">
        <v>311.06676072390525</v>
      </c>
      <c r="U159" s="4">
        <v>0.17400856860375188</v>
      </c>
      <c r="V159" s="4">
        <v>0.44954634981524372</v>
      </c>
      <c r="W159" s="5">
        <v>4.4954634981524375</v>
      </c>
      <c r="X159" s="192">
        <v>8.3336357424085884E-3</v>
      </c>
      <c r="Y159" s="192">
        <v>4.6010387772758496E-3</v>
      </c>
      <c r="Z159" s="66">
        <v>75</v>
      </c>
      <c r="AA159" s="192">
        <v>4.6010387772758496E-3</v>
      </c>
      <c r="AB159">
        <v>3269.6</v>
      </c>
      <c r="AC159" s="192">
        <v>4.6010387772758496E-3</v>
      </c>
    </row>
    <row r="160" spans="1:29" x14ac:dyDescent="0.25">
      <c r="B160" s="17">
        <v>47</v>
      </c>
      <c r="C160" s="17">
        <v>25.7</v>
      </c>
      <c r="D160" s="17">
        <v>155</v>
      </c>
      <c r="E160" s="329">
        <v>91.38</v>
      </c>
      <c r="F160" s="245">
        <f t="shared" si="4"/>
        <v>3983.5</v>
      </c>
      <c r="G160" s="329">
        <v>262.22552542553984</v>
      </c>
      <c r="H160" s="38">
        <v>0.35325016414970239</v>
      </c>
      <c r="I160" s="38">
        <v>0.77995049654409965</v>
      </c>
      <c r="J160" s="42">
        <v>7.7995049654409963</v>
      </c>
      <c r="K160" s="72">
        <v>1.4916190815877863E-2</v>
      </c>
      <c r="L160" s="70"/>
      <c r="M160" s="1">
        <v>35</v>
      </c>
      <c r="O160" s="231">
        <v>41</v>
      </c>
      <c r="P160" s="1">
        <v>23.4</v>
      </c>
      <c r="Q160" s="1">
        <v>168</v>
      </c>
      <c r="R160" s="326">
        <v>93.85</v>
      </c>
      <c r="S160" s="231">
        <f t="shared" si="5"/>
        <v>3931.2</v>
      </c>
      <c r="T160" s="326">
        <v>472.32582690884294</v>
      </c>
      <c r="U160" s="4">
        <v>0.7518380394246128</v>
      </c>
      <c r="V160" s="4">
        <v>1.2792047090060765</v>
      </c>
      <c r="W160" s="5">
        <v>12.792047090060766</v>
      </c>
      <c r="X160" s="192">
        <v>1.1461717703058715E-2</v>
      </c>
      <c r="Y160" s="192">
        <v>8.9305022627039991E-3</v>
      </c>
      <c r="Z160" s="66">
        <v>75</v>
      </c>
      <c r="AA160" s="192">
        <v>8.9305022627039991E-3</v>
      </c>
      <c r="AB160">
        <v>3931.2</v>
      </c>
      <c r="AC160" s="192">
        <v>8.9305022627039991E-3</v>
      </c>
    </row>
    <row r="161" spans="2:29" x14ac:dyDescent="0.25">
      <c r="B161" s="17">
        <v>51</v>
      </c>
      <c r="C161" s="17">
        <v>26.2</v>
      </c>
      <c r="D161" s="17">
        <v>147</v>
      </c>
      <c r="E161" s="329">
        <v>88.5</v>
      </c>
      <c r="F161" s="245">
        <f t="shared" si="4"/>
        <v>3851.4</v>
      </c>
      <c r="G161" s="329">
        <v>265.30286617732105</v>
      </c>
      <c r="H161" s="38">
        <v>0.44067796610169635</v>
      </c>
      <c r="I161" s="38">
        <v>0.96169869187606594</v>
      </c>
      <c r="J161" s="42">
        <v>9.6169869187606594</v>
      </c>
      <c r="K161" s="192">
        <v>1.4271608587440773E-2</v>
      </c>
      <c r="L161" s="70"/>
      <c r="M161" s="1">
        <v>35</v>
      </c>
      <c r="O161" s="231">
        <v>42</v>
      </c>
      <c r="P161" s="1">
        <v>24.3</v>
      </c>
      <c r="Q161" s="1">
        <v>214</v>
      </c>
      <c r="R161" s="326">
        <v>51.13</v>
      </c>
      <c r="S161" s="231">
        <f t="shared" si="5"/>
        <v>5200.2</v>
      </c>
      <c r="T161" s="326">
        <v>773.64705801073399</v>
      </c>
      <c r="U161" s="4">
        <v>0.39311558771758359</v>
      </c>
      <c r="V161" s="4">
        <v>0.40835213841869755</v>
      </c>
      <c r="W161" s="5">
        <v>4.0835213841869757</v>
      </c>
      <c r="X161" s="192">
        <v>1.862817128153588E-2</v>
      </c>
      <c r="Y161" s="192">
        <v>1.2406591238285055E-2</v>
      </c>
      <c r="Z161" s="66">
        <v>75</v>
      </c>
      <c r="AA161" s="192">
        <v>1.2406591238285055E-2</v>
      </c>
      <c r="AB161">
        <v>5200.2</v>
      </c>
      <c r="AC161" s="192">
        <v>1.2406591238285055E-2</v>
      </c>
    </row>
    <row r="162" spans="2:29" x14ac:dyDescent="0.25">
      <c r="B162" s="17">
        <v>52</v>
      </c>
      <c r="C162" s="17">
        <v>26.4</v>
      </c>
      <c r="D162" s="17">
        <v>149</v>
      </c>
      <c r="E162" s="329">
        <v>87.84</v>
      </c>
      <c r="F162" s="245">
        <f t="shared" si="4"/>
        <v>3933.6</v>
      </c>
      <c r="G162" s="329">
        <v>266.60912510936134</v>
      </c>
      <c r="H162" s="38">
        <v>0.44398907103824914</v>
      </c>
      <c r="I162" s="38">
        <v>0.96417729675202724</v>
      </c>
      <c r="J162" s="42">
        <v>9.6417729675202715</v>
      </c>
      <c r="K162" s="192">
        <v>1.3234445910187119E-2</v>
      </c>
      <c r="L162" s="70"/>
      <c r="M162" s="1">
        <v>35</v>
      </c>
      <c r="Q162" s="1"/>
    </row>
    <row r="163" spans="2:29" x14ac:dyDescent="0.25">
      <c r="B163" s="17">
        <v>65</v>
      </c>
      <c r="C163" s="17">
        <v>25</v>
      </c>
      <c r="D163" s="17">
        <v>150</v>
      </c>
      <c r="E163" s="329">
        <v>42.28</v>
      </c>
      <c r="F163" s="245">
        <f>C163*D163</f>
        <v>3750</v>
      </c>
      <c r="G163" s="329">
        <v>288.37127794456154</v>
      </c>
      <c r="H163" s="38">
        <v>0.54210028382214015</v>
      </c>
      <c r="I163" s="38">
        <v>1.0883968180913919</v>
      </c>
      <c r="J163" s="42">
        <v>10.88396818091392</v>
      </c>
      <c r="K163" s="72">
        <v>2.2275095088582379E-2</v>
      </c>
      <c r="L163" s="70">
        <v>1.9967237961215824E-2</v>
      </c>
      <c r="M163" s="1">
        <v>35</v>
      </c>
      <c r="Q163" s="1"/>
    </row>
    <row r="164" spans="2:29" x14ac:dyDescent="0.25">
      <c r="B164" s="17">
        <v>58</v>
      </c>
      <c r="C164" s="17">
        <v>25.5</v>
      </c>
      <c r="D164" s="17">
        <v>155</v>
      </c>
      <c r="E164" s="329">
        <v>81.25</v>
      </c>
      <c r="F164" s="245">
        <f>C164*D164</f>
        <v>3952.5</v>
      </c>
      <c r="G164" s="329">
        <v>269.6614507377347</v>
      </c>
      <c r="H164" s="38">
        <v>0.38399999999999967</v>
      </c>
      <c r="I164" s="38">
        <v>0.82446455347611713</v>
      </c>
      <c r="J164" s="42">
        <v>8.2446455347611707</v>
      </c>
      <c r="K164" s="72">
        <v>1.3502192571928114E-2</v>
      </c>
      <c r="L164" s="70">
        <v>1.2699925141045582E-2</v>
      </c>
      <c r="M164" s="1">
        <v>50</v>
      </c>
      <c r="Q164" s="1"/>
    </row>
    <row r="166" spans="2:29" x14ac:dyDescent="0.25">
      <c r="B166" s="17"/>
      <c r="C166" s="17"/>
      <c r="D166" s="17"/>
      <c r="E166" s="17"/>
      <c r="F166" s="245"/>
      <c r="G166" s="42"/>
      <c r="K166" s="72"/>
    </row>
    <row r="167" spans="2:29" x14ac:dyDescent="0.25">
      <c r="B167" s="17"/>
      <c r="C167" s="17"/>
      <c r="D167" s="17"/>
      <c r="E167" s="17"/>
      <c r="F167" s="245"/>
      <c r="G167" s="42"/>
      <c r="K167" s="72"/>
    </row>
    <row r="215" spans="1:6" ht="13.8" x14ac:dyDescent="0.25">
      <c r="A215" s="141" t="s">
        <v>263</v>
      </c>
    </row>
    <row r="218" spans="1:6" x14ac:dyDescent="0.25">
      <c r="A218" s="138" t="s">
        <v>248</v>
      </c>
      <c r="E218" s="18" t="s">
        <v>126</v>
      </c>
      <c r="F218" s="244" t="s">
        <v>137</v>
      </c>
    </row>
    <row r="220" spans="1:6" x14ac:dyDescent="0.25">
      <c r="A220" t="s">
        <v>264</v>
      </c>
      <c r="E220" s="17">
        <v>7.7195555791812077E-3</v>
      </c>
      <c r="F220" s="244">
        <v>7.3410319415029056E-3</v>
      </c>
    </row>
    <row r="221" spans="1:6" x14ac:dyDescent="0.25">
      <c r="A221" t="s">
        <v>265</v>
      </c>
      <c r="E221" s="38">
        <v>6.7425346057602305E-5</v>
      </c>
      <c r="F221" s="244">
        <v>6.0836102773127511E-5</v>
      </c>
    </row>
    <row r="223" spans="1:6" x14ac:dyDescent="0.25">
      <c r="A223" s="99"/>
      <c r="B223" s="99"/>
    </row>
    <row r="224" spans="1:6" x14ac:dyDescent="0.25">
      <c r="A224" s="138" t="s">
        <v>251</v>
      </c>
      <c r="B224" s="99"/>
      <c r="E224" s="18" t="s">
        <v>201</v>
      </c>
      <c r="F224" s="244" t="s">
        <v>229</v>
      </c>
    </row>
    <row r="225" spans="1:11" x14ac:dyDescent="0.25">
      <c r="B225" s="19"/>
    </row>
    <row r="226" spans="1:11" x14ac:dyDescent="0.25">
      <c r="A226" t="s">
        <v>264</v>
      </c>
      <c r="E226" s="17">
        <v>0</v>
      </c>
      <c r="F226" s="245">
        <v>0</v>
      </c>
    </row>
    <row r="227" spans="1:11" x14ac:dyDescent="0.25">
      <c r="A227" t="s">
        <v>265</v>
      </c>
      <c r="E227" s="17">
        <v>0</v>
      </c>
      <c r="F227" s="245">
        <v>0</v>
      </c>
    </row>
    <row r="230" spans="1:11" x14ac:dyDescent="0.25">
      <c r="A230" s="138" t="s">
        <v>252</v>
      </c>
      <c r="E230" s="18" t="s">
        <v>78</v>
      </c>
      <c r="F230" s="244" t="s">
        <v>141</v>
      </c>
    </row>
    <row r="231" spans="1:11" x14ac:dyDescent="0.25">
      <c r="A231" s="19"/>
    </row>
    <row r="232" spans="1:11" x14ac:dyDescent="0.25">
      <c r="A232" t="s">
        <v>264</v>
      </c>
      <c r="E232" s="17">
        <v>0</v>
      </c>
      <c r="F232" s="245">
        <v>0</v>
      </c>
    </row>
    <row r="233" spans="1:11" x14ac:dyDescent="0.25">
      <c r="A233" t="s">
        <v>265</v>
      </c>
      <c r="E233" s="17">
        <v>0</v>
      </c>
      <c r="F233" s="245">
        <v>0</v>
      </c>
    </row>
    <row r="237" spans="1:11" ht="13.8" x14ac:dyDescent="0.25">
      <c r="A237" s="141" t="s">
        <v>266</v>
      </c>
    </row>
    <row r="240" spans="1:11" x14ac:dyDescent="0.25">
      <c r="E240" s="99" t="s">
        <v>21</v>
      </c>
      <c r="F240" s="246" t="s">
        <v>9</v>
      </c>
      <c r="G240" s="99" t="s">
        <v>9</v>
      </c>
      <c r="H240" s="94" t="s">
        <v>270</v>
      </c>
      <c r="I240" s="94"/>
      <c r="J240" s="252" t="s">
        <v>268</v>
      </c>
      <c r="K240" s="101" t="s">
        <v>269</v>
      </c>
    </row>
    <row r="241" spans="1:11" x14ac:dyDescent="0.25">
      <c r="E241" s="99"/>
      <c r="F241" s="246" t="s">
        <v>53</v>
      </c>
      <c r="G241" s="99" t="s">
        <v>267</v>
      </c>
      <c r="H241" s="94" t="s">
        <v>267</v>
      </c>
      <c r="I241" s="94"/>
      <c r="J241" s="252"/>
      <c r="K241" s="250"/>
    </row>
    <row r="242" spans="1:11" x14ac:dyDescent="0.25">
      <c r="E242" s="99"/>
      <c r="F242" s="246" t="s">
        <v>157</v>
      </c>
      <c r="G242" s="99" t="s">
        <v>157</v>
      </c>
      <c r="H242" s="94"/>
      <c r="I242" s="94"/>
      <c r="J242" s="252"/>
      <c r="K242" s="250"/>
    </row>
    <row r="244" spans="1:11" x14ac:dyDescent="0.25">
      <c r="A244" s="138" t="s">
        <v>254</v>
      </c>
      <c r="E244" s="17">
        <v>34</v>
      </c>
      <c r="F244" s="329">
        <v>7.15</v>
      </c>
      <c r="G244" s="329">
        <v>5.020973682550725</v>
      </c>
      <c r="H244" s="386">
        <v>0.29776591852437417</v>
      </c>
      <c r="J244" s="387">
        <f>AVERAGE(H244:H245)</f>
        <v>0.35658002248799353</v>
      </c>
      <c r="K244" s="137">
        <f>STDEV(H244:H245)</f>
        <v>8.3175703484171915E-2</v>
      </c>
    </row>
    <row r="245" spans="1:11" x14ac:dyDescent="0.25">
      <c r="E245" s="17">
        <v>53</v>
      </c>
      <c r="F245" s="329">
        <v>7.75</v>
      </c>
      <c r="G245" s="329">
        <v>4.5306955200000001</v>
      </c>
      <c r="H245" s="386">
        <v>0.41539412645161289</v>
      </c>
      <c r="J245" s="387"/>
      <c r="K245" s="137"/>
    </row>
    <row r="246" spans="1:11" x14ac:dyDescent="0.25">
      <c r="E246" s="17"/>
      <c r="F246" s="329"/>
      <c r="G246" s="329"/>
      <c r="H246" s="387"/>
      <c r="J246" s="387"/>
      <c r="K246" s="137"/>
    </row>
    <row r="247" spans="1:11" x14ac:dyDescent="0.25">
      <c r="A247" s="138" t="s">
        <v>247</v>
      </c>
      <c r="E247" s="17">
        <v>54</v>
      </c>
      <c r="F247" s="329">
        <v>6.3833333333333337</v>
      </c>
      <c r="G247" s="329">
        <v>4.5175630692173909</v>
      </c>
      <c r="H247" s="387">
        <v>0.29228776983539573</v>
      </c>
      <c r="J247" s="387">
        <f>AVERAGE(H247:H248)</f>
        <v>0.34623707350587568</v>
      </c>
      <c r="K247" s="137">
        <f>STDEV(H247:H248)</f>
        <v>7.629583693137737E-2</v>
      </c>
    </row>
    <row r="248" spans="1:11" x14ac:dyDescent="0.25">
      <c r="E248" s="17">
        <v>55</v>
      </c>
      <c r="F248" s="329">
        <v>5.9333333333333336</v>
      </c>
      <c r="G248" s="329">
        <v>3.5588941620869567</v>
      </c>
      <c r="H248" s="387">
        <v>0.40018637717635563</v>
      </c>
      <c r="J248" s="387"/>
      <c r="K248" s="137"/>
    </row>
    <row r="249" spans="1:11" x14ac:dyDescent="0.25">
      <c r="E249" s="17"/>
      <c r="F249" s="329"/>
      <c r="G249" s="329"/>
      <c r="H249" s="387"/>
      <c r="J249" s="387"/>
      <c r="K249" s="137"/>
    </row>
    <row r="250" spans="1:11" x14ac:dyDescent="0.25">
      <c r="A250" s="138" t="s">
        <v>250</v>
      </c>
      <c r="E250" s="17">
        <v>44</v>
      </c>
      <c r="F250" s="329">
        <v>7.8166666666666664</v>
      </c>
      <c r="G250" s="329">
        <v>5.2299985241739133</v>
      </c>
      <c r="H250" s="387">
        <v>0.33091703315472321</v>
      </c>
      <c r="J250" s="387">
        <f>AVERAGE(H250:H251)</f>
        <v>0.41664863067367669</v>
      </c>
      <c r="K250" s="137">
        <f>STDEV(H250:H251)</f>
        <v>0.12124278793521545</v>
      </c>
    </row>
    <row r="251" spans="1:11" x14ac:dyDescent="0.25">
      <c r="E251" s="17">
        <v>50</v>
      </c>
      <c r="F251" s="329">
        <v>11.15</v>
      </c>
      <c r="G251" s="329">
        <v>5.5484604556521742</v>
      </c>
      <c r="H251" s="387">
        <v>0.50238022819263017</v>
      </c>
      <c r="J251" s="387"/>
      <c r="K251" s="137"/>
    </row>
    <row r="252" spans="1:11" x14ac:dyDescent="0.25">
      <c r="E252" s="17"/>
      <c r="F252" s="329"/>
      <c r="G252" s="329"/>
      <c r="H252" s="387"/>
      <c r="J252" s="387"/>
      <c r="K252" s="137"/>
    </row>
    <row r="253" spans="1:11" x14ac:dyDescent="0.25">
      <c r="A253" s="138" t="s">
        <v>251</v>
      </c>
      <c r="E253" s="17">
        <v>51</v>
      </c>
      <c r="F253" s="329">
        <v>7.35</v>
      </c>
      <c r="G253" s="329">
        <v>4.4912981676521735</v>
      </c>
      <c r="H253" s="387">
        <v>0.38893902480922804</v>
      </c>
      <c r="J253" s="387">
        <f>AVERAGE(H253:H254)</f>
        <v>0.41163379031295716</v>
      </c>
      <c r="K253" s="137">
        <f>STDEV(H253:H254)</f>
        <v>3.2095245170250787E-2</v>
      </c>
    </row>
    <row r="254" spans="1:11" x14ac:dyDescent="0.25">
      <c r="E254" s="17">
        <v>52</v>
      </c>
      <c r="F254" s="329">
        <v>7.4</v>
      </c>
      <c r="G254" s="329">
        <v>4.1859686869565218</v>
      </c>
      <c r="H254" s="387">
        <v>0.43432855581668628</v>
      </c>
      <c r="J254" s="387"/>
      <c r="K254" s="137"/>
    </row>
    <row r="255" spans="1:11" x14ac:dyDescent="0.25">
      <c r="E255" s="17"/>
      <c r="F255" s="329"/>
      <c r="G255" s="329"/>
      <c r="H255" s="387"/>
      <c r="J255" s="387"/>
      <c r="K255" s="137"/>
    </row>
    <row r="256" spans="1:11" x14ac:dyDescent="0.25">
      <c r="A256" s="138" t="s">
        <v>249</v>
      </c>
      <c r="E256" s="17">
        <v>59</v>
      </c>
      <c r="F256" s="329">
        <v>3.1666666666666665</v>
      </c>
      <c r="G256" s="329">
        <v>2.5433179682318841</v>
      </c>
      <c r="H256" s="387">
        <v>0.19684695740045766</v>
      </c>
      <c r="J256" s="387">
        <f>AVERAGE(H256:H257)</f>
        <v>0.20591726815857225</v>
      </c>
      <c r="K256" s="137">
        <f>STDEV(H256:H257)</f>
        <v>1.2827356489064252E-2</v>
      </c>
    </row>
    <row r="257" spans="1:11" x14ac:dyDescent="0.25">
      <c r="E257" s="17">
        <v>60</v>
      </c>
      <c r="F257" s="329">
        <v>2.9833333333333334</v>
      </c>
      <c r="G257" s="329">
        <v>2.341953722898551</v>
      </c>
      <c r="H257" s="387">
        <v>0.21498757891668685</v>
      </c>
      <c r="J257" s="387"/>
      <c r="K257" s="137"/>
    </row>
    <row r="258" spans="1:11" x14ac:dyDescent="0.25">
      <c r="E258" s="17"/>
      <c r="F258" s="329"/>
      <c r="G258" s="329"/>
      <c r="H258" s="387"/>
      <c r="J258" s="387"/>
      <c r="K258" s="137"/>
    </row>
    <row r="259" spans="1:11" x14ac:dyDescent="0.25">
      <c r="A259" s="138" t="s">
        <v>271</v>
      </c>
      <c r="E259" s="17">
        <v>61</v>
      </c>
      <c r="F259" s="329">
        <v>3.4</v>
      </c>
      <c r="G259" s="329">
        <v>2.398861009623189</v>
      </c>
      <c r="H259" s="386">
        <v>0.29445264422847384</v>
      </c>
      <c r="J259" s="387">
        <f>AVERAGE(H259:H262)</f>
        <v>0.57368065865699713</v>
      </c>
      <c r="K259" s="137">
        <f>STDEV(H259:H262)</f>
        <v>0.20503696599666224</v>
      </c>
    </row>
    <row r="260" spans="1:11" x14ac:dyDescent="0.25">
      <c r="E260" s="17">
        <v>62</v>
      </c>
      <c r="F260" s="329">
        <v>6.5166666666666666</v>
      </c>
      <c r="G260" s="329">
        <v>2.836609369043479</v>
      </c>
      <c r="H260" s="386">
        <v>0.56471467482708759</v>
      </c>
    </row>
    <row r="261" spans="1:11" x14ac:dyDescent="0.25">
      <c r="E261" s="17">
        <v>70</v>
      </c>
      <c r="F261" s="329">
        <v>7.1929824561403111</v>
      </c>
      <c r="G261" s="329">
        <v>1.6185745589565217</v>
      </c>
      <c r="H261" s="386">
        <v>0.77497865887677497</v>
      </c>
    </row>
    <row r="262" spans="1:11" x14ac:dyDescent="0.25">
      <c r="E262" s="17">
        <v>71</v>
      </c>
      <c r="F262" s="329">
        <v>6.5</v>
      </c>
      <c r="G262" s="329">
        <v>2.206251731478261</v>
      </c>
      <c r="H262" s="386">
        <v>0.66057665669565213</v>
      </c>
    </row>
    <row r="264" spans="1:11" x14ac:dyDescent="0.25">
      <c r="F264" s="388"/>
    </row>
  </sheetData>
  <pageMargins left="0.17" right="0.16" top="0.26" bottom="0.23" header="0.19" footer="0.2"/>
  <pageSetup scale="50" orientation="landscape" r:id="rId1"/>
  <headerFooter alignWithMargins="0"/>
  <rowBreaks count="2" manualBreakCount="2">
    <brk id="112" max="15" man="1"/>
    <brk id="235" max="15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93"/>
  <sheetViews>
    <sheetView view="pageBreakPreview" zoomScale="75" zoomScaleNormal="75" zoomScaleSheetLayoutView="75" workbookViewId="0">
      <selection activeCell="L23" sqref="L23"/>
    </sheetView>
  </sheetViews>
  <sheetFormatPr defaultRowHeight="13.2" x14ac:dyDescent="0.25"/>
  <cols>
    <col min="1" max="1" width="9.109375" style="1" customWidth="1"/>
    <col min="2" max="2" width="7" style="18" customWidth="1"/>
    <col min="3" max="3" width="9.109375" style="18" customWidth="1"/>
    <col min="4" max="4" width="8.88671875" style="18" bestFit="1" customWidth="1"/>
    <col min="5" max="5" width="8.88671875" style="18" customWidth="1"/>
    <col min="6" max="6" width="9.109375" style="17" customWidth="1"/>
    <col min="7" max="8" width="9.109375" style="38" customWidth="1"/>
    <col min="9" max="9" width="9.109375" style="17" customWidth="1"/>
    <col min="10" max="10" width="9.109375" style="1" customWidth="1"/>
    <col min="12" max="12" width="14.88671875" bestFit="1" customWidth="1"/>
    <col min="13" max="13" width="14.5546875" bestFit="1" customWidth="1"/>
    <col min="14" max="14" width="16.88671875" bestFit="1" customWidth="1"/>
    <col min="15" max="15" width="18.109375" bestFit="1" customWidth="1"/>
  </cols>
  <sheetData>
    <row r="1" spans="1:15" ht="17.399999999999999" x14ac:dyDescent="0.3">
      <c r="A1" s="105" t="s">
        <v>227</v>
      </c>
      <c r="B1" s="96"/>
    </row>
    <row r="2" spans="1:15" x14ac:dyDescent="0.25">
      <c r="C2" s="17"/>
      <c r="D2" s="17"/>
      <c r="E2" s="17"/>
    </row>
    <row r="3" spans="1:15" x14ac:dyDescent="0.25">
      <c r="C3" s="17"/>
      <c r="D3" s="17"/>
      <c r="E3" s="17"/>
    </row>
    <row r="4" spans="1:15" x14ac:dyDescent="0.25">
      <c r="B4" s="99" t="s">
        <v>21</v>
      </c>
      <c r="C4" s="99" t="s">
        <v>58</v>
      </c>
      <c r="D4" s="99" t="s">
        <v>59</v>
      </c>
      <c r="E4" s="99" t="s">
        <v>191</v>
      </c>
      <c r="F4" s="99" t="s">
        <v>182</v>
      </c>
      <c r="G4" s="464" t="s">
        <v>30</v>
      </c>
      <c r="H4" s="464"/>
      <c r="I4" s="464"/>
      <c r="J4" s="99"/>
    </row>
    <row r="5" spans="1:15" x14ac:dyDescent="0.25">
      <c r="B5" s="99"/>
      <c r="C5" s="99"/>
      <c r="D5" s="99"/>
      <c r="E5" s="99"/>
      <c r="F5" s="99" t="s">
        <v>183</v>
      </c>
      <c r="G5" s="94" t="s">
        <v>9</v>
      </c>
      <c r="H5" s="94" t="s">
        <v>15</v>
      </c>
      <c r="I5" s="252" t="s">
        <v>20</v>
      </c>
      <c r="J5" s="103"/>
    </row>
    <row r="6" spans="1:15" s="66" customFormat="1" x14ac:dyDescent="0.25">
      <c r="B6" s="92"/>
      <c r="C6" s="92" t="s">
        <v>74</v>
      </c>
      <c r="D6" s="92" t="s">
        <v>75</v>
      </c>
      <c r="E6" s="92" t="s">
        <v>192</v>
      </c>
      <c r="F6" s="92"/>
      <c r="G6" s="95" t="s">
        <v>1</v>
      </c>
      <c r="H6" s="95"/>
      <c r="I6" s="253"/>
    </row>
    <row r="7" spans="1:15" s="66" customFormat="1" x14ac:dyDescent="0.25">
      <c r="B7" s="92"/>
      <c r="C7" s="92"/>
      <c r="D7" s="92"/>
      <c r="E7" s="92"/>
      <c r="F7" s="92"/>
      <c r="G7" s="95"/>
      <c r="H7" s="95"/>
      <c r="I7" s="253"/>
    </row>
    <row r="8" spans="1:15" s="66" customFormat="1" x14ac:dyDescent="0.25">
      <c r="B8" s="104" t="s">
        <v>184</v>
      </c>
      <c r="C8" s="92"/>
      <c r="D8" s="92"/>
      <c r="E8" s="92"/>
      <c r="F8" s="92"/>
      <c r="G8" s="95"/>
      <c r="H8" s="95"/>
      <c r="I8" s="253"/>
    </row>
    <row r="9" spans="1:15" x14ac:dyDescent="0.25">
      <c r="B9" s="17"/>
      <c r="C9" s="17"/>
      <c r="D9" s="17"/>
      <c r="E9" s="17"/>
      <c r="I9" s="42"/>
    </row>
    <row r="10" spans="1:15" x14ac:dyDescent="0.25">
      <c r="A10" s="1" t="s">
        <v>234</v>
      </c>
      <c r="B10" s="17">
        <v>5</v>
      </c>
      <c r="C10" s="17">
        <v>24</v>
      </c>
      <c r="D10" s="17">
        <v>225</v>
      </c>
      <c r="E10" s="17">
        <f>C10*D10</f>
        <v>5400</v>
      </c>
      <c r="F10" s="42">
        <v>302.32950708980417</v>
      </c>
      <c r="G10" s="38">
        <v>0.45172180958811398</v>
      </c>
      <c r="H10" s="38">
        <v>0.74028764191695517</v>
      </c>
      <c r="I10" s="42">
        <v>7.4028764191695515</v>
      </c>
      <c r="L10" s="17"/>
    </row>
    <row r="11" spans="1:15" x14ac:dyDescent="0.25">
      <c r="A11" s="1" t="s">
        <v>234</v>
      </c>
      <c r="B11" s="17">
        <v>8</v>
      </c>
      <c r="C11" s="17">
        <v>26</v>
      </c>
      <c r="D11" s="17">
        <v>225</v>
      </c>
      <c r="E11" s="17">
        <f>C11*D11</f>
        <v>5850</v>
      </c>
      <c r="F11" s="42">
        <v>298.94736842105266</v>
      </c>
      <c r="G11" s="38">
        <v>0.58947368421053248</v>
      </c>
      <c r="H11" s="38">
        <v>0.97696648000094799</v>
      </c>
      <c r="I11" s="42">
        <v>9.7696648000094797</v>
      </c>
      <c r="L11" s="17"/>
      <c r="M11" s="6"/>
      <c r="N11" s="6"/>
      <c r="O11" s="6"/>
    </row>
    <row r="12" spans="1:15" x14ac:dyDescent="0.25">
      <c r="A12" s="1" t="s">
        <v>234</v>
      </c>
      <c r="B12" s="17">
        <v>9</v>
      </c>
      <c r="C12" s="17">
        <v>28</v>
      </c>
      <c r="D12" s="17">
        <v>225</v>
      </c>
      <c r="E12" s="17">
        <f>C12*D12</f>
        <v>6300</v>
      </c>
      <c r="F12" s="42">
        <v>301.88679245283015</v>
      </c>
      <c r="G12" s="38">
        <v>0.6839622641509413</v>
      </c>
      <c r="H12" s="38">
        <v>1.1225301240635743</v>
      </c>
      <c r="I12" s="42">
        <v>11.225301240635742</v>
      </c>
      <c r="L12" s="17"/>
    </row>
    <row r="13" spans="1:15" x14ac:dyDescent="0.25">
      <c r="B13" s="17"/>
      <c r="C13" s="17"/>
      <c r="D13" s="17"/>
      <c r="E13" s="17"/>
      <c r="F13" s="42"/>
      <c r="I13" s="42"/>
      <c r="L13" s="100"/>
    </row>
    <row r="14" spans="1:15" x14ac:dyDescent="0.25">
      <c r="I14" s="42"/>
      <c r="L14" s="17"/>
    </row>
    <row r="15" spans="1:15" x14ac:dyDescent="0.25">
      <c r="A15" s="1" t="s">
        <v>235</v>
      </c>
      <c r="B15" s="17">
        <v>17</v>
      </c>
      <c r="C15" s="17">
        <v>24</v>
      </c>
      <c r="D15" s="17">
        <v>225</v>
      </c>
      <c r="E15" s="17">
        <f t="shared" ref="E15:E21" si="0">C15*D15</f>
        <v>5400</v>
      </c>
      <c r="F15" s="42">
        <v>292.5392670157068</v>
      </c>
      <c r="G15" s="38">
        <v>0.42015706806282455</v>
      </c>
      <c r="H15" s="38">
        <v>0.71160252622886644</v>
      </c>
      <c r="I15" s="42">
        <v>7.1160252622886642</v>
      </c>
      <c r="L15" s="17"/>
      <c r="M15" s="6"/>
      <c r="N15" s="6"/>
      <c r="O15" s="6"/>
    </row>
    <row r="16" spans="1:15" x14ac:dyDescent="0.25">
      <c r="A16" s="1" t="s">
        <v>235</v>
      </c>
      <c r="B16" s="17">
        <v>18</v>
      </c>
      <c r="C16" s="17">
        <v>24</v>
      </c>
      <c r="D16" s="17">
        <v>210</v>
      </c>
      <c r="E16" s="17">
        <f t="shared" si="0"/>
        <v>5040</v>
      </c>
      <c r="F16" s="42">
        <v>287.5</v>
      </c>
      <c r="G16" s="38">
        <v>0.42352941176470799</v>
      </c>
      <c r="H16" s="38">
        <v>0.66940785308617745</v>
      </c>
      <c r="I16" s="42">
        <v>6.6940785308617743</v>
      </c>
      <c r="L16" s="17"/>
    </row>
    <row r="17" spans="1:12" x14ac:dyDescent="0.25">
      <c r="A17" s="1" t="s">
        <v>235</v>
      </c>
      <c r="B17" s="17">
        <v>28</v>
      </c>
      <c r="C17" s="17">
        <v>24</v>
      </c>
      <c r="D17" s="17">
        <v>225</v>
      </c>
      <c r="E17" s="17">
        <f t="shared" si="0"/>
        <v>5400</v>
      </c>
      <c r="F17" s="42">
        <v>379.60309120342572</v>
      </c>
      <c r="G17" s="38">
        <v>0.47433981066267972</v>
      </c>
      <c r="H17" s="38">
        <v>0.61911284101581709</v>
      </c>
      <c r="I17" s="42">
        <v>6.1911284101581714</v>
      </c>
      <c r="L17" s="17"/>
    </row>
    <row r="18" spans="1:12" x14ac:dyDescent="0.25">
      <c r="A18" s="1" t="s">
        <v>235</v>
      </c>
      <c r="B18" s="17">
        <v>33</v>
      </c>
      <c r="C18" s="17">
        <v>24</v>
      </c>
      <c r="D18" s="17">
        <v>225</v>
      </c>
      <c r="E18" s="17">
        <f t="shared" si="0"/>
        <v>5400</v>
      </c>
      <c r="F18" s="42">
        <v>276.35136853450678</v>
      </c>
      <c r="G18" s="38">
        <v>0.3430588235294097</v>
      </c>
      <c r="H18" s="38">
        <v>0.61505924467058093</v>
      </c>
      <c r="I18" s="42">
        <v>6.1505924467058097</v>
      </c>
      <c r="L18" s="17"/>
    </row>
    <row r="19" spans="1:12" x14ac:dyDescent="0.25">
      <c r="A19" s="1" t="s">
        <v>235</v>
      </c>
      <c r="B19" s="17">
        <v>34</v>
      </c>
      <c r="C19" s="17">
        <v>24</v>
      </c>
      <c r="D19" s="17">
        <v>225</v>
      </c>
      <c r="E19" s="17">
        <f t="shared" si="0"/>
        <v>5400</v>
      </c>
      <c r="F19" s="42">
        <v>289.68545290178571</v>
      </c>
      <c r="G19" s="38">
        <v>0.42857142857142705</v>
      </c>
      <c r="H19" s="38">
        <v>0.73300426924261297</v>
      </c>
      <c r="I19" s="42">
        <v>7.3300426924261295</v>
      </c>
      <c r="J19" s="8"/>
      <c r="L19" s="17"/>
    </row>
    <row r="20" spans="1:12" x14ac:dyDescent="0.25">
      <c r="A20" s="1" t="s">
        <v>235</v>
      </c>
      <c r="B20" s="17">
        <v>39</v>
      </c>
      <c r="C20" s="17">
        <v>23.7</v>
      </c>
      <c r="D20" s="17">
        <v>228</v>
      </c>
      <c r="E20" s="17">
        <f t="shared" si="0"/>
        <v>5403.5999999999995</v>
      </c>
      <c r="F20" s="42">
        <v>300.90862155899742</v>
      </c>
      <c r="G20" s="38">
        <v>0.36211356078335183</v>
      </c>
      <c r="H20" s="38">
        <v>0.60675235072233391</v>
      </c>
      <c r="I20" s="42">
        <v>6.0675235072233393</v>
      </c>
      <c r="J20" s="8"/>
      <c r="L20" s="17"/>
    </row>
    <row r="21" spans="1:12" x14ac:dyDescent="0.25">
      <c r="A21" s="1" t="s">
        <v>235</v>
      </c>
      <c r="B21" s="17">
        <v>53</v>
      </c>
      <c r="C21" s="17">
        <v>24.2</v>
      </c>
      <c r="D21" s="17">
        <v>225</v>
      </c>
      <c r="E21" s="17">
        <f t="shared" si="0"/>
        <v>5445</v>
      </c>
      <c r="F21" s="42">
        <v>280.9159267661388</v>
      </c>
      <c r="G21" s="38">
        <v>0.46528623629720028</v>
      </c>
      <c r="H21" s="38">
        <v>0.83511282443104284</v>
      </c>
      <c r="I21" s="42">
        <v>8.3511282443104289</v>
      </c>
      <c r="J21" s="8"/>
      <c r="L21" s="17"/>
    </row>
    <row r="22" spans="1:12" x14ac:dyDescent="0.25">
      <c r="I22" s="42"/>
      <c r="J22" s="8"/>
      <c r="L22" s="17"/>
    </row>
    <row r="23" spans="1:12" x14ac:dyDescent="0.25">
      <c r="I23" s="42"/>
      <c r="J23" s="8"/>
      <c r="K23" s="2"/>
      <c r="L23" s="17"/>
    </row>
    <row r="24" spans="1:12" x14ac:dyDescent="0.25">
      <c r="A24" s="1" t="s">
        <v>235</v>
      </c>
      <c r="B24" s="17">
        <v>38</v>
      </c>
      <c r="C24" s="17">
        <v>26.1</v>
      </c>
      <c r="D24" s="17">
        <v>218</v>
      </c>
      <c r="E24" s="17">
        <f>C24*D24</f>
        <v>5689.8</v>
      </c>
      <c r="F24" s="42">
        <v>301.91161764223909</v>
      </c>
      <c r="G24" s="38">
        <v>0.49475616151022372</v>
      </c>
      <c r="H24" s="38">
        <v>0.8262523279834092</v>
      </c>
      <c r="I24" s="42">
        <v>8.2625232798340917</v>
      </c>
      <c r="J24" s="8"/>
      <c r="L24" s="17"/>
    </row>
    <row r="25" spans="1:12" x14ac:dyDescent="0.25">
      <c r="A25" s="1" t="s">
        <v>235</v>
      </c>
      <c r="B25" s="17">
        <v>29</v>
      </c>
      <c r="C25" s="17">
        <v>26</v>
      </c>
      <c r="D25" s="17">
        <v>230</v>
      </c>
      <c r="E25" s="17">
        <f>C25*D25</f>
        <v>5980</v>
      </c>
      <c r="F25" s="42">
        <v>276.89816822429918</v>
      </c>
      <c r="G25" s="38">
        <v>0.52112149532710217</v>
      </c>
      <c r="H25" s="38">
        <v>0.93245714456606721</v>
      </c>
      <c r="I25" s="42">
        <v>9.3245714456606734</v>
      </c>
      <c r="J25" s="8"/>
      <c r="L25" s="17"/>
    </row>
    <row r="26" spans="1:12" x14ac:dyDescent="0.25">
      <c r="I26" s="42"/>
      <c r="J26" s="8"/>
      <c r="L26" s="17"/>
    </row>
    <row r="27" spans="1:12" x14ac:dyDescent="0.25">
      <c r="I27" s="42"/>
      <c r="J27" s="8"/>
      <c r="L27" s="17"/>
    </row>
    <row r="28" spans="1:12" x14ac:dyDescent="0.25">
      <c r="A28" s="1" t="s">
        <v>235</v>
      </c>
      <c r="B28" s="17">
        <v>30</v>
      </c>
      <c r="C28" s="17">
        <v>28</v>
      </c>
      <c r="D28" s="17">
        <v>225</v>
      </c>
      <c r="E28" s="17">
        <f>C28*D28</f>
        <v>6300</v>
      </c>
      <c r="F28" s="42">
        <v>277.60380664760663</v>
      </c>
      <c r="G28" s="38">
        <v>0.61142857142856755</v>
      </c>
      <c r="H28" s="38">
        <v>1.0912651552741774</v>
      </c>
      <c r="I28" s="42">
        <v>10.912651552741774</v>
      </c>
      <c r="J28" s="8"/>
      <c r="K28" s="2"/>
      <c r="L28" s="17"/>
    </row>
    <row r="29" spans="1:12" x14ac:dyDescent="0.25">
      <c r="A29" s="1" t="s">
        <v>235</v>
      </c>
      <c r="B29" s="17">
        <v>37</v>
      </c>
      <c r="C29" s="17">
        <v>28</v>
      </c>
      <c r="D29" s="17">
        <v>207</v>
      </c>
      <c r="E29" s="17">
        <f>C29*D29</f>
        <v>5796</v>
      </c>
      <c r="F29" s="42">
        <v>304.75256858896938</v>
      </c>
      <c r="G29" s="38">
        <v>0.64347826086956561</v>
      </c>
      <c r="H29" s="38">
        <v>1.0646033156764936</v>
      </c>
      <c r="I29" s="42">
        <v>10.646033156764936</v>
      </c>
      <c r="J29" s="8"/>
      <c r="L29" s="17"/>
    </row>
    <row r="30" spans="1:12" x14ac:dyDescent="0.25">
      <c r="J30" s="8"/>
      <c r="L30" s="17"/>
    </row>
    <row r="31" spans="1:12" x14ac:dyDescent="0.25">
      <c r="J31" s="8"/>
      <c r="K31" s="2"/>
      <c r="L31" s="17"/>
    </row>
    <row r="32" spans="1:12" x14ac:dyDescent="0.25">
      <c r="J32" s="8"/>
      <c r="L32" s="17"/>
    </row>
    <row r="33" spans="2:15" x14ac:dyDescent="0.25">
      <c r="J33" s="8"/>
    </row>
    <row r="34" spans="2:15" x14ac:dyDescent="0.25">
      <c r="J34" s="8"/>
      <c r="L34" s="17"/>
    </row>
    <row r="35" spans="2:15" x14ac:dyDescent="0.25">
      <c r="J35" s="8"/>
      <c r="L35" s="17"/>
    </row>
    <row r="36" spans="2:15" x14ac:dyDescent="0.25">
      <c r="B36" s="17"/>
      <c r="C36" s="17"/>
      <c r="D36" s="17"/>
      <c r="E36" s="17"/>
      <c r="F36" s="42"/>
      <c r="J36" s="8"/>
      <c r="L36" s="17"/>
    </row>
    <row r="37" spans="2:15" x14ac:dyDescent="0.25">
      <c r="B37" s="17"/>
      <c r="C37" s="17"/>
      <c r="D37" s="17"/>
      <c r="E37" s="17"/>
      <c r="F37" s="42"/>
      <c r="J37" s="8"/>
      <c r="L37" s="100"/>
    </row>
    <row r="38" spans="2:15" x14ac:dyDescent="0.25">
      <c r="B38" s="17"/>
      <c r="C38" s="17"/>
      <c r="D38" s="17"/>
      <c r="E38" s="17"/>
      <c r="F38" s="42"/>
      <c r="J38" s="8"/>
      <c r="L38" s="17"/>
    </row>
    <row r="39" spans="2:15" x14ac:dyDescent="0.25">
      <c r="B39" s="17"/>
      <c r="C39" s="17"/>
      <c r="D39" s="17"/>
      <c r="E39" s="17"/>
      <c r="F39" s="42"/>
      <c r="J39" s="8"/>
      <c r="L39" s="17"/>
    </row>
    <row r="40" spans="2:15" x14ac:dyDescent="0.25">
      <c r="B40" s="17"/>
      <c r="C40" s="17"/>
      <c r="D40" s="17"/>
      <c r="E40" s="17"/>
      <c r="F40" s="42"/>
      <c r="J40" s="8"/>
      <c r="L40" s="17"/>
    </row>
    <row r="41" spans="2:15" x14ac:dyDescent="0.25">
      <c r="B41" s="17"/>
      <c r="C41" s="17"/>
      <c r="D41" s="17"/>
      <c r="E41" s="17"/>
      <c r="F41" s="42"/>
      <c r="J41" s="8"/>
      <c r="L41" s="17"/>
    </row>
    <row r="42" spans="2:15" x14ac:dyDescent="0.25">
      <c r="B42" s="100"/>
      <c r="C42" s="17"/>
      <c r="D42" s="17"/>
      <c r="E42" s="17"/>
      <c r="F42" s="42"/>
      <c r="J42" s="8"/>
      <c r="L42" s="17"/>
    </row>
    <row r="43" spans="2:15" x14ac:dyDescent="0.25">
      <c r="E43" s="17"/>
    </row>
    <row r="44" spans="2:15" x14ac:dyDescent="0.25">
      <c r="B44" s="17"/>
      <c r="C44" s="17"/>
      <c r="D44" s="17"/>
      <c r="E44" s="17"/>
      <c r="F44" s="42"/>
      <c r="J44" s="8"/>
      <c r="L44" s="17"/>
    </row>
    <row r="45" spans="2:15" x14ac:dyDescent="0.25">
      <c r="B45" s="17"/>
      <c r="C45" s="17"/>
      <c r="D45" s="17"/>
      <c r="E45" s="17"/>
      <c r="F45" s="42"/>
      <c r="J45" s="8"/>
      <c r="L45" s="17"/>
      <c r="M45" s="6"/>
      <c r="N45" s="6"/>
      <c r="O45" s="6"/>
    </row>
    <row r="46" spans="2:15" x14ac:dyDescent="0.25">
      <c r="B46" s="17"/>
      <c r="C46" s="17"/>
      <c r="D46" s="17"/>
      <c r="E46" s="17"/>
      <c r="F46" s="42"/>
      <c r="J46" s="8"/>
      <c r="L46" s="17"/>
    </row>
    <row r="47" spans="2:15" x14ac:dyDescent="0.25">
      <c r="B47" s="17"/>
      <c r="C47" s="17"/>
      <c r="D47" s="17"/>
      <c r="E47" s="17"/>
      <c r="F47" s="42"/>
      <c r="J47" s="8"/>
      <c r="L47" s="100"/>
    </row>
    <row r="48" spans="2:15" x14ac:dyDescent="0.25">
      <c r="B48" s="17"/>
      <c r="C48" s="17"/>
      <c r="D48" s="17"/>
      <c r="E48" s="17"/>
      <c r="F48" s="42"/>
      <c r="J48" s="8"/>
      <c r="L48" s="17"/>
    </row>
    <row r="49" spans="2:15" x14ac:dyDescent="0.25">
      <c r="B49" s="17"/>
      <c r="C49" s="17"/>
      <c r="D49" s="17"/>
      <c r="E49" s="17"/>
      <c r="F49" s="42"/>
      <c r="J49" s="8"/>
      <c r="L49" s="17"/>
      <c r="M49" s="6"/>
      <c r="N49" s="6"/>
      <c r="O49" s="6"/>
    </row>
    <row r="50" spans="2:15" x14ac:dyDescent="0.25">
      <c r="B50" s="17"/>
      <c r="C50" s="17"/>
      <c r="D50" s="17"/>
      <c r="E50" s="17"/>
      <c r="F50" s="42"/>
      <c r="J50" s="8"/>
      <c r="L50" s="17"/>
    </row>
    <row r="51" spans="2:15" x14ac:dyDescent="0.25">
      <c r="B51" s="17"/>
      <c r="C51" s="17"/>
      <c r="D51" s="17"/>
      <c r="E51" s="17"/>
      <c r="F51" s="42"/>
      <c r="J51" s="8"/>
      <c r="L51" s="17"/>
    </row>
    <row r="52" spans="2:15" x14ac:dyDescent="0.25">
      <c r="E52" s="17"/>
      <c r="L52" s="17"/>
    </row>
    <row r="53" spans="2:15" x14ac:dyDescent="0.25">
      <c r="E53" s="17"/>
      <c r="L53" s="17"/>
    </row>
    <row r="54" spans="2:15" x14ac:dyDescent="0.25">
      <c r="E54" s="17"/>
    </row>
    <row r="55" spans="2:15" x14ac:dyDescent="0.25">
      <c r="B55" s="17"/>
      <c r="C55" s="17"/>
      <c r="D55" s="17"/>
      <c r="E55" s="17"/>
      <c r="F55" s="42"/>
      <c r="J55" s="8"/>
      <c r="L55" s="17"/>
    </row>
    <row r="56" spans="2:15" x14ac:dyDescent="0.25">
      <c r="B56" s="17"/>
      <c r="C56" s="17"/>
      <c r="D56" s="17"/>
      <c r="E56" s="17"/>
      <c r="F56" s="42"/>
      <c r="J56" s="8"/>
      <c r="L56" s="17"/>
      <c r="M56" s="6"/>
      <c r="N56" s="6"/>
      <c r="O56" s="6"/>
    </row>
    <row r="57" spans="2:15" x14ac:dyDescent="0.25">
      <c r="B57" s="17"/>
      <c r="C57" s="17"/>
      <c r="D57" s="17"/>
      <c r="E57" s="17"/>
      <c r="F57" s="42"/>
      <c r="J57" s="8"/>
      <c r="L57" s="17"/>
    </row>
    <row r="58" spans="2:15" x14ac:dyDescent="0.25">
      <c r="B58" s="17"/>
      <c r="C58" s="17"/>
      <c r="D58" s="17"/>
      <c r="E58" s="17"/>
      <c r="F58" s="42"/>
      <c r="J58" s="8"/>
      <c r="L58" s="100"/>
    </row>
    <row r="59" spans="2:15" x14ac:dyDescent="0.25">
      <c r="B59" s="17"/>
      <c r="C59" s="17"/>
      <c r="D59" s="17"/>
      <c r="E59" s="17"/>
      <c r="F59" s="42"/>
      <c r="J59" s="8"/>
      <c r="L59" s="17"/>
    </row>
    <row r="60" spans="2:15" x14ac:dyDescent="0.25">
      <c r="B60" s="17"/>
      <c r="C60" s="17"/>
      <c r="D60" s="17"/>
      <c r="E60" s="17"/>
      <c r="F60" s="42"/>
      <c r="J60" s="8"/>
      <c r="L60" s="17"/>
      <c r="M60" s="6"/>
      <c r="N60" s="6"/>
      <c r="O60" s="6"/>
    </row>
    <row r="61" spans="2:15" x14ac:dyDescent="0.25">
      <c r="B61" s="17"/>
      <c r="C61" s="17"/>
      <c r="D61" s="17"/>
      <c r="E61" s="17"/>
      <c r="F61" s="42"/>
    </row>
    <row r="62" spans="2:15" x14ac:dyDescent="0.25">
      <c r="B62" s="17"/>
      <c r="C62" s="17"/>
      <c r="D62" s="17"/>
      <c r="E62" s="17"/>
    </row>
    <row r="63" spans="2:15" x14ac:dyDescent="0.25">
      <c r="B63" s="17"/>
      <c r="C63" s="17"/>
      <c r="D63" s="17"/>
      <c r="E63" s="17"/>
    </row>
    <row r="64" spans="2:15" x14ac:dyDescent="0.25">
      <c r="B64" s="17"/>
      <c r="C64" s="17"/>
      <c r="D64" s="17"/>
      <c r="E64" s="17"/>
    </row>
    <row r="65" spans="2:15" x14ac:dyDescent="0.25">
      <c r="B65" s="17"/>
      <c r="C65" s="17"/>
      <c r="D65" s="17"/>
      <c r="E65" s="17"/>
    </row>
    <row r="66" spans="2:15" x14ac:dyDescent="0.25">
      <c r="B66" s="17"/>
      <c r="C66" s="17"/>
      <c r="D66" s="17"/>
      <c r="E66" s="17"/>
    </row>
    <row r="67" spans="2:15" x14ac:dyDescent="0.25">
      <c r="B67" s="100"/>
      <c r="C67" s="17"/>
      <c r="D67" s="17"/>
      <c r="E67" s="17"/>
    </row>
    <row r="68" spans="2:15" x14ac:dyDescent="0.25">
      <c r="B68" s="17"/>
      <c r="C68" s="17"/>
      <c r="D68" s="17"/>
      <c r="E68" s="17"/>
    </row>
    <row r="69" spans="2:15" x14ac:dyDescent="0.25">
      <c r="B69" s="17"/>
      <c r="C69" s="17"/>
      <c r="D69" s="17"/>
      <c r="E69" s="17"/>
      <c r="L69" s="17"/>
    </row>
    <row r="70" spans="2:15" x14ac:dyDescent="0.25">
      <c r="B70" s="17"/>
      <c r="C70" s="17"/>
      <c r="D70" s="17"/>
      <c r="E70" s="17"/>
      <c r="L70" s="17"/>
      <c r="M70" s="6"/>
      <c r="N70" s="6"/>
      <c r="O70" s="6"/>
    </row>
    <row r="71" spans="2:15" x14ac:dyDescent="0.25">
      <c r="B71" s="17"/>
      <c r="C71" s="17"/>
      <c r="D71" s="17"/>
      <c r="E71" s="17"/>
    </row>
    <row r="72" spans="2:15" x14ac:dyDescent="0.25">
      <c r="B72" s="17"/>
      <c r="C72" s="17"/>
      <c r="D72" s="17"/>
      <c r="E72" s="17"/>
      <c r="L72" s="100"/>
    </row>
    <row r="73" spans="2:15" x14ac:dyDescent="0.25">
      <c r="B73" s="17"/>
      <c r="C73" s="17"/>
      <c r="D73" s="17"/>
      <c r="E73" s="17"/>
      <c r="L73" s="17"/>
    </row>
    <row r="74" spans="2:15" x14ac:dyDescent="0.25">
      <c r="B74" s="17"/>
      <c r="C74" s="17"/>
      <c r="D74" s="17"/>
      <c r="E74" s="17"/>
      <c r="L74" s="17"/>
      <c r="M74" s="6"/>
      <c r="N74" s="6"/>
      <c r="O74" s="6"/>
    </row>
    <row r="75" spans="2:15" x14ac:dyDescent="0.25">
      <c r="B75" s="17"/>
      <c r="C75" s="17"/>
      <c r="D75" s="17"/>
      <c r="E75" s="17"/>
      <c r="L75" s="17"/>
      <c r="M75" s="6"/>
      <c r="N75" s="6"/>
      <c r="O75" s="6"/>
    </row>
    <row r="76" spans="2:15" x14ac:dyDescent="0.25">
      <c r="B76" s="17"/>
      <c r="C76" s="17"/>
      <c r="D76" s="17"/>
      <c r="E76" s="17"/>
      <c r="L76" s="17"/>
      <c r="M76" s="6"/>
      <c r="N76" s="6"/>
      <c r="O76" s="6"/>
    </row>
    <row r="77" spans="2:15" x14ac:dyDescent="0.25">
      <c r="B77" s="17"/>
      <c r="C77" s="17"/>
      <c r="D77" s="17"/>
      <c r="E77" s="17"/>
    </row>
    <row r="78" spans="2:15" x14ac:dyDescent="0.25">
      <c r="B78" s="100"/>
      <c r="C78" s="17"/>
      <c r="D78" s="17"/>
      <c r="E78" s="17"/>
    </row>
    <row r="79" spans="2:15" x14ac:dyDescent="0.25">
      <c r="B79" s="17"/>
      <c r="C79" s="17"/>
      <c r="D79" s="17"/>
      <c r="E79" s="17"/>
    </row>
    <row r="80" spans="2:15" x14ac:dyDescent="0.25">
      <c r="B80" s="17"/>
      <c r="C80" s="17"/>
      <c r="D80" s="17"/>
      <c r="E80" s="17"/>
      <c r="L80" s="17"/>
    </row>
    <row r="81" spans="2:15" x14ac:dyDescent="0.25">
      <c r="B81" s="17"/>
      <c r="C81" s="17"/>
      <c r="D81" s="17"/>
      <c r="E81" s="17"/>
      <c r="L81" s="17"/>
      <c r="M81" s="6"/>
      <c r="N81" s="6"/>
      <c r="O81" s="6"/>
    </row>
    <row r="82" spans="2:15" x14ac:dyDescent="0.25">
      <c r="B82" s="17"/>
      <c r="C82" s="17"/>
      <c r="D82" s="17"/>
      <c r="E82" s="17"/>
    </row>
    <row r="83" spans="2:15" x14ac:dyDescent="0.25">
      <c r="B83" s="17"/>
      <c r="C83" s="17"/>
      <c r="D83" s="17"/>
      <c r="E83" s="17"/>
      <c r="L83" s="100"/>
    </row>
    <row r="84" spans="2:15" x14ac:dyDescent="0.25">
      <c r="B84" s="17"/>
      <c r="C84" s="17"/>
      <c r="D84" s="17"/>
      <c r="E84" s="17"/>
      <c r="L84" s="17"/>
    </row>
    <row r="85" spans="2:15" x14ac:dyDescent="0.25">
      <c r="L85" s="17"/>
      <c r="M85" s="6"/>
      <c r="N85" s="6"/>
      <c r="O85" s="6"/>
    </row>
    <row r="87" spans="2:15" x14ac:dyDescent="0.25">
      <c r="B87" s="17"/>
      <c r="C87" s="17"/>
      <c r="D87" s="17"/>
      <c r="E87" s="17"/>
    </row>
    <row r="88" spans="2:15" x14ac:dyDescent="0.25">
      <c r="B88" s="17"/>
      <c r="C88" s="17"/>
      <c r="D88" s="17"/>
      <c r="E88" s="17"/>
    </row>
    <row r="89" spans="2:15" x14ac:dyDescent="0.25">
      <c r="B89" s="17"/>
      <c r="C89" s="17"/>
      <c r="D89" s="17"/>
      <c r="E89" s="17"/>
    </row>
    <row r="90" spans="2:15" x14ac:dyDescent="0.25">
      <c r="B90" s="17"/>
      <c r="C90" s="17"/>
      <c r="D90" s="17"/>
      <c r="E90" s="17"/>
    </row>
    <row r="91" spans="2:15" x14ac:dyDescent="0.25">
      <c r="B91" s="17"/>
      <c r="C91" s="17"/>
      <c r="D91" s="17"/>
      <c r="E91" s="17"/>
    </row>
    <row r="92" spans="2:15" x14ac:dyDescent="0.25">
      <c r="B92" s="17"/>
      <c r="C92" s="17"/>
      <c r="D92" s="17"/>
      <c r="E92" s="17"/>
    </row>
    <row r="93" spans="2:15" x14ac:dyDescent="0.25">
      <c r="B93" s="100"/>
      <c r="C93" s="17"/>
      <c r="D93" s="17"/>
      <c r="E93" s="17"/>
    </row>
  </sheetData>
  <pageMargins left="0.5" right="0.5" top="1" bottom="1" header="0.5" footer="0.5"/>
  <pageSetup scale="75" orientation="landscape" horizontalDpi="300" verticalDpi="300" r:id="rId1"/>
  <headerFooter alignWithMargins="0"/>
  <rowBreaks count="1" manualBreakCount="1">
    <brk id="9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3"/>
  <sheetViews>
    <sheetView topLeftCell="A25" workbookViewId="0">
      <selection activeCell="M22" sqref="M22"/>
    </sheetView>
  </sheetViews>
  <sheetFormatPr defaultRowHeight="13.2" x14ac:dyDescent="0.25"/>
  <sheetData>
    <row r="1" spans="1:14" x14ac:dyDescent="0.25">
      <c r="A1" s="145" t="s">
        <v>122</v>
      </c>
      <c r="E1" s="145" t="s">
        <v>190</v>
      </c>
      <c r="J1" s="145" t="s">
        <v>203</v>
      </c>
    </row>
    <row r="3" spans="1:14" x14ac:dyDescent="0.25">
      <c r="A3" t="s">
        <v>117</v>
      </c>
      <c r="B3" t="s">
        <v>118</v>
      </c>
      <c r="E3" t="s">
        <v>117</v>
      </c>
      <c r="F3" t="s">
        <v>118</v>
      </c>
      <c r="J3" t="s">
        <v>204</v>
      </c>
      <c r="K3" t="s">
        <v>387</v>
      </c>
      <c r="M3" t="s">
        <v>386</v>
      </c>
    </row>
    <row r="4" spans="1:14" x14ac:dyDescent="0.25">
      <c r="A4">
        <v>75</v>
      </c>
      <c r="B4">
        <v>15.14</v>
      </c>
      <c r="C4" s="2">
        <f>B4/A4</f>
        <v>0.20186666666666667</v>
      </c>
      <c r="E4" s="6">
        <f>1+3/8</f>
        <v>1.375</v>
      </c>
      <c r="F4">
        <v>0.26850000000000002</v>
      </c>
      <c r="G4" s="2">
        <f>F4/E4</f>
        <v>0.19527272727272729</v>
      </c>
      <c r="J4" t="s">
        <v>205</v>
      </c>
      <c r="K4">
        <v>7.0000000000000007E-2</v>
      </c>
      <c r="M4" t="s">
        <v>212</v>
      </c>
      <c r="N4" s="255">
        <v>1.2E-4</v>
      </c>
    </row>
    <row r="5" spans="1:14" x14ac:dyDescent="0.25">
      <c r="A5">
        <v>2.5</v>
      </c>
      <c r="B5">
        <v>0.50090000000000001</v>
      </c>
      <c r="C5" s="2">
        <f>B5/A5</f>
        <v>0.20036000000000001</v>
      </c>
      <c r="E5" s="6">
        <f>1+3/32</f>
        <v>1.09375</v>
      </c>
      <c r="F5">
        <v>0.22020000000000001</v>
      </c>
      <c r="G5" s="2">
        <f>F5/E5</f>
        <v>0.2013257142857143</v>
      </c>
      <c r="J5" t="s">
        <v>206</v>
      </c>
      <c r="K5">
        <v>0.7</v>
      </c>
      <c r="M5" t="s">
        <v>213</v>
      </c>
      <c r="N5" s="254">
        <v>2E-3</v>
      </c>
    </row>
    <row r="6" spans="1:14" x14ac:dyDescent="0.25">
      <c r="A6">
        <f>1+13/16</f>
        <v>1.8125</v>
      </c>
      <c r="B6">
        <v>0.3669</v>
      </c>
      <c r="C6" s="2">
        <f>B6/A6</f>
        <v>0.20242758620689655</v>
      </c>
      <c r="E6" s="6">
        <f>2+1/4</f>
        <v>2.25</v>
      </c>
      <c r="F6">
        <v>0.44590000000000002</v>
      </c>
      <c r="G6" s="2">
        <f>F6/E6</f>
        <v>0.19817777777777779</v>
      </c>
      <c r="J6" t="s">
        <v>207</v>
      </c>
      <c r="K6">
        <v>1.1000000000000001</v>
      </c>
      <c r="M6" t="s">
        <v>207</v>
      </c>
      <c r="N6" s="254">
        <v>1.18E-2</v>
      </c>
    </row>
    <row r="7" spans="1:14" x14ac:dyDescent="0.25">
      <c r="E7" s="6">
        <f>1+13/32</f>
        <v>1.40625</v>
      </c>
      <c r="F7">
        <v>0.2802</v>
      </c>
      <c r="G7" s="2">
        <f>F7/E7</f>
        <v>0.19925333333333334</v>
      </c>
      <c r="H7" s="17"/>
      <c r="M7" t="s">
        <v>211</v>
      </c>
      <c r="N7" s="255">
        <v>1.1E-4</v>
      </c>
    </row>
    <row r="8" spans="1:14" x14ac:dyDescent="0.25">
      <c r="A8" t="s">
        <v>119</v>
      </c>
      <c r="B8">
        <f>SUM(B4:B6)/SUM(A4:A6)</f>
        <v>0.20183199369582347</v>
      </c>
      <c r="G8" s="2"/>
    </row>
    <row r="9" spans="1:14" x14ac:dyDescent="0.25">
      <c r="E9" t="s">
        <v>119</v>
      </c>
      <c r="F9">
        <f>SUM(F4:F7)/SUM(E4:E7)</f>
        <v>0.19833469387755104</v>
      </c>
      <c r="G9" s="2"/>
    </row>
    <row r="10" spans="1:14" x14ac:dyDescent="0.25">
      <c r="G10" s="2"/>
      <c r="J10" t="s">
        <v>199</v>
      </c>
      <c r="K10" t="s">
        <v>387</v>
      </c>
      <c r="M10" t="s">
        <v>107</v>
      </c>
      <c r="N10" t="s">
        <v>387</v>
      </c>
    </row>
    <row r="11" spans="1:14" x14ac:dyDescent="0.25">
      <c r="A11" s="145" t="s">
        <v>121</v>
      </c>
      <c r="E11" s="145" t="s">
        <v>195</v>
      </c>
      <c r="G11" s="2"/>
      <c r="J11" t="s">
        <v>205</v>
      </c>
      <c r="K11">
        <v>0.05</v>
      </c>
      <c r="M11" t="s">
        <v>205</v>
      </c>
      <c r="N11">
        <v>0.02</v>
      </c>
    </row>
    <row r="12" spans="1:14" x14ac:dyDescent="0.25">
      <c r="G12" s="2"/>
      <c r="J12" t="s">
        <v>206</v>
      </c>
      <c r="K12">
        <v>0.74</v>
      </c>
      <c r="M12" t="s">
        <v>206</v>
      </c>
      <c r="N12">
        <v>0.48</v>
      </c>
    </row>
    <row r="13" spans="1:14" x14ac:dyDescent="0.25">
      <c r="A13" t="s">
        <v>117</v>
      </c>
      <c r="B13" t="s">
        <v>118</v>
      </c>
      <c r="E13" t="s">
        <v>117</v>
      </c>
      <c r="F13" t="s">
        <v>118</v>
      </c>
      <c r="G13" s="2"/>
      <c r="J13" t="s">
        <v>207</v>
      </c>
      <c r="K13">
        <v>1</v>
      </c>
      <c r="M13" t="s">
        <v>207</v>
      </c>
      <c r="N13">
        <v>1.05</v>
      </c>
    </row>
    <row r="14" spans="1:14" x14ac:dyDescent="0.25">
      <c r="A14">
        <v>1</v>
      </c>
      <c r="B14">
        <v>0.219</v>
      </c>
      <c r="E14">
        <v>1.67</v>
      </c>
      <c r="F14">
        <v>0.29189999999999999</v>
      </c>
      <c r="G14" s="2">
        <f>F14/E14</f>
        <v>0.17479041916167665</v>
      </c>
      <c r="J14" t="s">
        <v>208</v>
      </c>
      <c r="K14">
        <v>8.0000000000000002E-3</v>
      </c>
      <c r="M14" t="s">
        <v>210</v>
      </c>
      <c r="N14">
        <v>2.2999999999999998</v>
      </c>
    </row>
    <row r="15" spans="1:14" x14ac:dyDescent="0.25">
      <c r="A15">
        <v>1</v>
      </c>
      <c r="B15">
        <v>0.22120000000000001</v>
      </c>
      <c r="E15">
        <v>1.53</v>
      </c>
      <c r="F15">
        <v>0.26479999999999998</v>
      </c>
      <c r="G15" s="2">
        <f>F15/E15</f>
        <v>0.17307189542483659</v>
      </c>
      <c r="J15" t="s">
        <v>209</v>
      </c>
      <c r="K15">
        <v>1.4999999999999999E-2</v>
      </c>
      <c r="M15" t="s">
        <v>211</v>
      </c>
      <c r="N15">
        <v>13</v>
      </c>
    </row>
    <row r="16" spans="1:14" x14ac:dyDescent="0.25">
      <c r="A16">
        <v>1</v>
      </c>
      <c r="B16">
        <v>0.22</v>
      </c>
      <c r="E16">
        <v>1.57</v>
      </c>
      <c r="F16">
        <v>0.27060000000000001</v>
      </c>
      <c r="G16" s="2">
        <f>F16/E16</f>
        <v>0.17235668789808917</v>
      </c>
      <c r="M16" t="s">
        <v>212</v>
      </c>
      <c r="N16">
        <v>18</v>
      </c>
    </row>
    <row r="17" spans="1:14" x14ac:dyDescent="0.25">
      <c r="E17">
        <v>1.45</v>
      </c>
      <c r="F17">
        <v>0.25469999999999998</v>
      </c>
      <c r="G17" s="2">
        <f>F17/E17</f>
        <v>0.17565517241379311</v>
      </c>
      <c r="M17" t="s">
        <v>213</v>
      </c>
      <c r="N17">
        <v>0.2</v>
      </c>
    </row>
    <row r="18" spans="1:14" x14ac:dyDescent="0.25">
      <c r="A18" t="s">
        <v>119</v>
      </c>
      <c r="B18">
        <f>SUM(B14:B16)/SUM(A14:A16)</f>
        <v>0.22006666666666666</v>
      </c>
      <c r="E18">
        <v>1.93</v>
      </c>
      <c r="F18">
        <v>0.33800000000000002</v>
      </c>
      <c r="G18" s="2">
        <f>F18/E18</f>
        <v>0.1751295336787565</v>
      </c>
      <c r="J18" t="s">
        <v>196</v>
      </c>
      <c r="K18" t="s">
        <v>387</v>
      </c>
      <c r="M18" t="s">
        <v>208</v>
      </c>
      <c r="N18">
        <v>1.4999999999999999E-2</v>
      </c>
    </row>
    <row r="19" spans="1:14" x14ac:dyDescent="0.25">
      <c r="G19" s="2"/>
      <c r="J19" t="s">
        <v>205</v>
      </c>
      <c r="K19">
        <v>0.03</v>
      </c>
      <c r="M19" t="s">
        <v>209</v>
      </c>
      <c r="N19">
        <v>1.4999999999999999E-2</v>
      </c>
    </row>
    <row r="20" spans="1:14" x14ac:dyDescent="0.25">
      <c r="E20" t="s">
        <v>119</v>
      </c>
      <c r="F20">
        <f>SUM(F14:F18)/SUM(E14:E18)</f>
        <v>0.17423312883435582</v>
      </c>
      <c r="G20" s="2"/>
      <c r="J20" t="s">
        <v>206</v>
      </c>
      <c r="K20">
        <v>0.45</v>
      </c>
    </row>
    <row r="21" spans="1:14" x14ac:dyDescent="0.25">
      <c r="G21" s="2"/>
      <c r="J21" t="s">
        <v>207</v>
      </c>
      <c r="K21">
        <v>1.05</v>
      </c>
    </row>
    <row r="22" spans="1:14" x14ac:dyDescent="0.25">
      <c r="A22" s="145" t="s">
        <v>120</v>
      </c>
      <c r="E22" s="145" t="s">
        <v>197</v>
      </c>
      <c r="G22" s="2"/>
      <c r="J22" t="s">
        <v>210</v>
      </c>
      <c r="K22">
        <v>0.1</v>
      </c>
    </row>
    <row r="23" spans="1:14" x14ac:dyDescent="0.25">
      <c r="G23" s="2"/>
      <c r="J23" t="s">
        <v>211</v>
      </c>
      <c r="K23">
        <v>13.5</v>
      </c>
    </row>
    <row r="24" spans="1:14" x14ac:dyDescent="0.25">
      <c r="A24" t="s">
        <v>117</v>
      </c>
      <c r="B24" t="s">
        <v>118</v>
      </c>
      <c r="E24" t="s">
        <v>117</v>
      </c>
      <c r="F24" t="s">
        <v>118</v>
      </c>
      <c r="G24" s="2"/>
      <c r="J24" t="s">
        <v>212</v>
      </c>
      <c r="K24">
        <v>23</v>
      </c>
    </row>
    <row r="25" spans="1:14" x14ac:dyDescent="0.25">
      <c r="A25">
        <v>1</v>
      </c>
      <c r="B25">
        <v>0.1249</v>
      </c>
      <c r="E25">
        <v>2.78</v>
      </c>
      <c r="F25">
        <v>0.48130000000000001</v>
      </c>
      <c r="G25" s="2">
        <f>F25/E25</f>
        <v>0.17312949640287773</v>
      </c>
      <c r="J25" t="s">
        <v>213</v>
      </c>
      <c r="K25">
        <v>0.1</v>
      </c>
    </row>
    <row r="26" spans="1:14" x14ac:dyDescent="0.25">
      <c r="A26">
        <f>1+15/16</f>
        <v>1.9375</v>
      </c>
      <c r="B26">
        <v>0.24490000000000001</v>
      </c>
      <c r="E26">
        <v>1.61</v>
      </c>
      <c r="F26">
        <v>0.27739999999999998</v>
      </c>
      <c r="G26" s="2">
        <f>F26/E26</f>
        <v>0.17229813664596272</v>
      </c>
      <c r="J26" t="s">
        <v>208</v>
      </c>
      <c r="K26">
        <v>0.02</v>
      </c>
    </row>
    <row r="27" spans="1:14" x14ac:dyDescent="0.25">
      <c r="A27">
        <f>2+11/16</f>
        <v>2.6875</v>
      </c>
      <c r="B27">
        <v>0.33100000000000002</v>
      </c>
      <c r="E27">
        <v>1.63</v>
      </c>
      <c r="F27">
        <v>0.28149999999999997</v>
      </c>
      <c r="G27" s="2">
        <f>F27/E27</f>
        <v>0.17269938650306749</v>
      </c>
      <c r="J27" t="s">
        <v>209</v>
      </c>
      <c r="K27">
        <v>1.6E-2</v>
      </c>
    </row>
    <row r="28" spans="1:14" x14ac:dyDescent="0.25">
      <c r="A28">
        <v>1.5</v>
      </c>
      <c r="B28">
        <v>0.18579999999999999</v>
      </c>
      <c r="E28">
        <v>1.65</v>
      </c>
      <c r="F28">
        <v>0.28610000000000002</v>
      </c>
      <c r="G28" s="2">
        <f>F28/E28</f>
        <v>0.17339393939393941</v>
      </c>
    </row>
    <row r="29" spans="1:14" x14ac:dyDescent="0.25">
      <c r="E29">
        <v>1.23</v>
      </c>
      <c r="F29">
        <v>0.2109</v>
      </c>
      <c r="G29" s="2">
        <f>F29/E29</f>
        <v>0.17146341463414635</v>
      </c>
    </row>
    <row r="30" spans="1:14" x14ac:dyDescent="0.25">
      <c r="A30" t="s">
        <v>119</v>
      </c>
      <c r="B30">
        <f>SUM(B25:B28)/SUM(A25:A28)</f>
        <v>0.12443508771929826</v>
      </c>
      <c r="J30" t="s">
        <v>214</v>
      </c>
      <c r="K30" t="s">
        <v>387</v>
      </c>
    </row>
    <row r="31" spans="1:14" x14ac:dyDescent="0.25">
      <c r="E31" t="s">
        <v>119</v>
      </c>
      <c r="F31">
        <f>SUM(F25:F29)/SUM(E25:E29)</f>
        <v>0.17271910112359551</v>
      </c>
      <c r="J31" t="s">
        <v>205</v>
      </c>
      <c r="K31">
        <v>2.1999999999999999E-2</v>
      </c>
    </row>
    <row r="32" spans="1:14" x14ac:dyDescent="0.25">
      <c r="J32" t="s">
        <v>206</v>
      </c>
      <c r="K32">
        <v>0.85</v>
      </c>
    </row>
    <row r="33" spans="1:11" x14ac:dyDescent="0.25">
      <c r="J33" t="s">
        <v>207</v>
      </c>
      <c r="K33">
        <v>1.8</v>
      </c>
    </row>
    <row r="34" spans="1:11" x14ac:dyDescent="0.25">
      <c r="A34" s="145" t="s">
        <v>272</v>
      </c>
      <c r="J34" t="s">
        <v>210</v>
      </c>
      <c r="K34">
        <v>2.4500000000000002</v>
      </c>
    </row>
    <row r="35" spans="1:11" x14ac:dyDescent="0.25">
      <c r="J35" t="s">
        <v>211</v>
      </c>
      <c r="K35">
        <v>12.6</v>
      </c>
    </row>
    <row r="36" spans="1:11" x14ac:dyDescent="0.25">
      <c r="A36" t="s">
        <v>117</v>
      </c>
      <c r="B36" t="s">
        <v>118</v>
      </c>
      <c r="J36" t="s">
        <v>212</v>
      </c>
      <c r="K36">
        <v>19.25</v>
      </c>
    </row>
    <row r="37" spans="1:11" x14ac:dyDescent="0.25">
      <c r="A37">
        <f>1+5/8</f>
        <v>1.625</v>
      </c>
      <c r="B37">
        <v>0.33429999999999999</v>
      </c>
    </row>
    <row r="38" spans="1:11" x14ac:dyDescent="0.25">
      <c r="A38">
        <f>1+6/8</f>
        <v>1.75</v>
      </c>
      <c r="B38">
        <v>0.3508</v>
      </c>
    </row>
    <row r="39" spans="1:11" x14ac:dyDescent="0.25">
      <c r="A39">
        <f>1+7/16</f>
        <v>1.4375</v>
      </c>
      <c r="B39">
        <v>0.28789999999999999</v>
      </c>
    </row>
    <row r="40" spans="1:11" x14ac:dyDescent="0.25">
      <c r="A40">
        <f>1+15/16</f>
        <v>1.9375</v>
      </c>
      <c r="B40">
        <v>0.39750000000000002</v>
      </c>
    </row>
    <row r="41" spans="1:11" x14ac:dyDescent="0.25">
      <c r="A41">
        <f>1+5/8</f>
        <v>1.625</v>
      </c>
      <c r="B41">
        <v>0.33129999999999998</v>
      </c>
    </row>
    <row r="43" spans="1:11" x14ac:dyDescent="0.25">
      <c r="A43" t="s">
        <v>119</v>
      </c>
      <c r="B43">
        <f>SUM(B37:B41)/SUM(A37:A41)</f>
        <v>0.20319999999999999</v>
      </c>
    </row>
  </sheetData>
  <pageMargins left="0.17" right="0.25" top="0.27" bottom="0.24" header="0.19" footer="0.2"/>
  <pageSetup orientation="landscape" horizontalDpi="200" verticalDpi="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6"/>
  <sheetViews>
    <sheetView workbookViewId="0">
      <selection activeCell="B23" sqref="B23"/>
    </sheetView>
  </sheetViews>
  <sheetFormatPr defaultRowHeight="13.2" x14ac:dyDescent="0.25"/>
  <cols>
    <col min="1" max="1" width="6.109375" customWidth="1"/>
    <col min="2" max="2" width="12.88671875" bestFit="1" customWidth="1"/>
  </cols>
  <sheetData>
    <row r="1" spans="1:2" ht="14.4" thickTop="1" thickBot="1" x14ac:dyDescent="0.3">
      <c r="A1" s="174" t="s">
        <v>1</v>
      </c>
      <c r="B1" s="175" t="s">
        <v>278</v>
      </c>
    </row>
    <row r="2" spans="1:2" ht="13.8" thickTop="1" x14ac:dyDescent="0.25">
      <c r="A2" s="172">
        <v>0.42899999999999999</v>
      </c>
      <c r="B2" s="173">
        <v>0.29776591852437417</v>
      </c>
    </row>
    <row r="3" spans="1:2" x14ac:dyDescent="0.25">
      <c r="A3" s="168">
        <v>0.46500000000000002</v>
      </c>
      <c r="B3" s="169">
        <v>0.41539412645161289</v>
      </c>
    </row>
    <row r="4" spans="1:2" x14ac:dyDescent="0.25">
      <c r="A4" s="168">
        <v>0.38300000000000001</v>
      </c>
      <c r="B4" s="169">
        <v>0.29228776983539573</v>
      </c>
    </row>
    <row r="5" spans="1:2" x14ac:dyDescent="0.25">
      <c r="A5" s="168">
        <v>0.35599999999999998</v>
      </c>
      <c r="B5" s="169">
        <v>0.40018637717635563</v>
      </c>
    </row>
    <row r="6" spans="1:2" x14ac:dyDescent="0.25">
      <c r="A6" s="168">
        <v>0.46899999999999997</v>
      </c>
      <c r="B6" s="169">
        <v>0.33091703315472321</v>
      </c>
    </row>
    <row r="7" spans="1:2" x14ac:dyDescent="0.25">
      <c r="A7" s="168">
        <v>0.66900000000000004</v>
      </c>
      <c r="B7" s="169">
        <v>0.50238022819263017</v>
      </c>
    </row>
    <row r="8" spans="1:2" x14ac:dyDescent="0.25">
      <c r="A8" s="168">
        <v>0.441</v>
      </c>
      <c r="B8" s="169">
        <v>0.38893902480922804</v>
      </c>
    </row>
    <row r="9" spans="1:2" x14ac:dyDescent="0.25">
      <c r="A9" s="168">
        <v>0.44400000000000001</v>
      </c>
      <c r="B9" s="169">
        <v>0.43432855581668628</v>
      </c>
    </row>
    <row r="10" spans="1:2" x14ac:dyDescent="0.25">
      <c r="A10" s="168">
        <v>0.19</v>
      </c>
      <c r="B10" s="169">
        <v>0.19684695740045766</v>
      </c>
    </row>
    <row r="11" spans="1:2" x14ac:dyDescent="0.25">
      <c r="A11" s="168">
        <v>0.17899999999999999</v>
      </c>
      <c r="B11" s="169">
        <v>0.21498757891668685</v>
      </c>
    </row>
    <row r="12" spans="1:2" x14ac:dyDescent="0.25">
      <c r="A12" s="168">
        <v>0.20399999999999999</v>
      </c>
      <c r="B12" s="169">
        <v>0.29445264422847384</v>
      </c>
    </row>
    <row r="13" spans="1:2" x14ac:dyDescent="0.25">
      <c r="A13" s="168">
        <v>0.39100000000000001</v>
      </c>
      <c r="B13" s="169">
        <v>0.56471467482708759</v>
      </c>
    </row>
    <row r="14" spans="1:2" x14ac:dyDescent="0.25">
      <c r="A14" s="168">
        <v>0.43157894736841868</v>
      </c>
      <c r="B14" s="169">
        <v>0.77497865887677497</v>
      </c>
    </row>
    <row r="15" spans="1:2" ht="13.8" thickBot="1" x14ac:dyDescent="0.3">
      <c r="A15" s="170">
        <v>0.39</v>
      </c>
      <c r="B15" s="171">
        <v>0.66057665669565213</v>
      </c>
    </row>
    <row r="16" spans="1:2" ht="13.8" thickTop="1" x14ac:dyDescent="0.25"/>
  </sheetData>
  <pageMargins left="0.75" right="0.75" top="1" bottom="1" header="0.5" footer="0.5"/>
  <pageSetup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W80"/>
  <sheetViews>
    <sheetView zoomScale="75" workbookViewId="0">
      <selection activeCell="O2" sqref="O2:P2"/>
    </sheetView>
  </sheetViews>
  <sheetFormatPr defaultRowHeight="13.2" x14ac:dyDescent="0.25"/>
  <cols>
    <col min="1" max="1" width="6.6640625" customWidth="1"/>
    <col min="2" max="2" width="10.109375" customWidth="1"/>
    <col min="3" max="3" width="10.44140625" customWidth="1"/>
    <col min="4" max="4" width="12.44140625" bestFit="1" customWidth="1"/>
    <col min="6" max="6" width="11.5546875" customWidth="1"/>
    <col min="7" max="7" width="13" customWidth="1"/>
    <col min="8" max="8" width="11.6640625" customWidth="1"/>
    <col min="9" max="9" width="16.88671875" customWidth="1"/>
    <col min="11" max="11" width="14.6640625" customWidth="1"/>
    <col min="12" max="12" width="13" customWidth="1"/>
    <col min="14" max="14" width="16.5546875" customWidth="1"/>
    <col min="16" max="16" width="17.33203125" customWidth="1"/>
    <col min="17" max="17" width="4.5546875" customWidth="1"/>
    <col min="18" max="18" width="3.44140625" customWidth="1"/>
    <col min="19" max="19" width="15.6640625" customWidth="1"/>
    <col min="22" max="22" width="8.88671875" bestFit="1" customWidth="1"/>
    <col min="23" max="23" width="12.109375" customWidth="1"/>
  </cols>
  <sheetData>
    <row r="1" spans="2:23" ht="13.8" thickBot="1" x14ac:dyDescent="0.3"/>
    <row r="2" spans="2:23" ht="13.8" thickTop="1" x14ac:dyDescent="0.25">
      <c r="B2" s="194"/>
      <c r="C2" s="195"/>
      <c r="D2" s="458" t="s">
        <v>30</v>
      </c>
      <c r="E2" s="458"/>
      <c r="F2" s="458"/>
      <c r="G2" s="456" t="s">
        <v>333</v>
      </c>
      <c r="H2" s="456"/>
      <c r="I2" s="456" t="s">
        <v>303</v>
      </c>
      <c r="J2" s="457"/>
      <c r="L2" s="194"/>
      <c r="M2" s="456" t="s">
        <v>333</v>
      </c>
      <c r="N2" s="456"/>
      <c r="O2" s="456" t="s">
        <v>303</v>
      </c>
      <c r="P2" s="457"/>
    </row>
    <row r="3" spans="2:23" ht="13.8" thickBot="1" x14ac:dyDescent="0.3">
      <c r="B3" s="206"/>
      <c r="C3" s="12"/>
      <c r="D3" s="297" t="s">
        <v>9</v>
      </c>
      <c r="E3" s="297" t="s">
        <v>15</v>
      </c>
      <c r="F3" s="297" t="s">
        <v>301</v>
      </c>
      <c r="G3" s="297" t="s">
        <v>181</v>
      </c>
      <c r="H3" s="297" t="s">
        <v>55</v>
      </c>
      <c r="I3" s="297" t="s">
        <v>181</v>
      </c>
      <c r="J3" s="298" t="s">
        <v>55</v>
      </c>
      <c r="L3" s="206"/>
      <c r="M3" s="297" t="s">
        <v>181</v>
      </c>
      <c r="N3" s="297" t="s">
        <v>55</v>
      </c>
      <c r="O3" s="297" t="s">
        <v>181</v>
      </c>
      <c r="P3" s="298" t="s">
        <v>55</v>
      </c>
    </row>
    <row r="4" spans="2:23" ht="26.4" x14ac:dyDescent="0.25">
      <c r="B4" s="206"/>
      <c r="C4" s="10" t="s">
        <v>302</v>
      </c>
      <c r="D4" s="35" t="s">
        <v>299</v>
      </c>
      <c r="E4" s="35"/>
      <c r="F4" s="35"/>
      <c r="G4" s="35" t="s">
        <v>300</v>
      </c>
      <c r="H4" s="35" t="s">
        <v>304</v>
      </c>
      <c r="I4" s="35" t="s">
        <v>300</v>
      </c>
      <c r="J4" s="207" t="s">
        <v>304</v>
      </c>
      <c r="L4" s="354" t="s">
        <v>302</v>
      </c>
      <c r="M4" s="35" t="s">
        <v>300</v>
      </c>
      <c r="N4" s="35" t="s">
        <v>381</v>
      </c>
      <c r="O4" s="35" t="s">
        <v>300</v>
      </c>
      <c r="P4" s="207" t="s">
        <v>304</v>
      </c>
      <c r="S4" s="362" t="s">
        <v>287</v>
      </c>
      <c r="T4" s="45" t="s">
        <v>290</v>
      </c>
      <c r="U4" s="45" t="s">
        <v>291</v>
      </c>
      <c r="V4" s="45" t="s">
        <v>292</v>
      </c>
      <c r="W4" s="363" t="s">
        <v>342</v>
      </c>
    </row>
    <row r="5" spans="2:23" ht="13.8" thickBot="1" x14ac:dyDescent="0.3">
      <c r="B5" s="299" t="s">
        <v>21</v>
      </c>
      <c r="C5" s="300" t="s">
        <v>16</v>
      </c>
      <c r="D5" s="204"/>
      <c r="E5" s="204"/>
      <c r="F5" s="204"/>
      <c r="G5" s="204"/>
      <c r="H5" s="204" t="s">
        <v>305</v>
      </c>
      <c r="I5" s="295" t="s">
        <v>341</v>
      </c>
      <c r="J5" s="296"/>
      <c r="L5" s="299" t="s">
        <v>16</v>
      </c>
      <c r="M5" s="204"/>
      <c r="N5" s="204" t="s">
        <v>382</v>
      </c>
      <c r="O5" s="295" t="s">
        <v>341</v>
      </c>
      <c r="P5" s="296"/>
      <c r="S5" s="355"/>
      <c r="T5" s="204" t="s">
        <v>295</v>
      </c>
      <c r="U5" s="204" t="s">
        <v>295</v>
      </c>
      <c r="V5" s="204" t="s">
        <v>296</v>
      </c>
      <c r="W5" s="356" t="s">
        <v>304</v>
      </c>
    </row>
    <row r="6" spans="2:23" ht="13.8" thickTop="1" x14ac:dyDescent="0.25">
      <c r="B6" s="301" t="s">
        <v>132</v>
      </c>
      <c r="C6" s="224" t="s">
        <v>64</v>
      </c>
      <c r="D6" s="209">
        <v>0.47433981066267972</v>
      </c>
      <c r="E6" s="209">
        <v>0.61911284101581709</v>
      </c>
      <c r="F6" s="209">
        <v>6.1911284101581714</v>
      </c>
      <c r="G6" s="210">
        <v>2.52E-2</v>
      </c>
      <c r="H6" s="227">
        <f>0.0015087623856688*10^6</f>
        <v>1508.7623856687999</v>
      </c>
      <c r="I6" s="210">
        <v>3.5000000000000001E-3</v>
      </c>
      <c r="J6" s="321">
        <f>0.000184693326521526*10^6</f>
        <v>184.69332652152602</v>
      </c>
      <c r="L6" s="301" t="s">
        <v>64</v>
      </c>
      <c r="M6" s="210">
        <v>2.52E-2</v>
      </c>
      <c r="N6" s="227">
        <f>0.0015087623856688*10^6</f>
        <v>1508.7623856687999</v>
      </c>
      <c r="O6" s="210">
        <v>3.5000000000000001E-3</v>
      </c>
      <c r="P6" s="321">
        <f>0.000184693326521526*10^6</f>
        <v>184.69332652152602</v>
      </c>
      <c r="S6" s="365" t="s">
        <v>230</v>
      </c>
      <c r="T6" s="360">
        <v>0</v>
      </c>
      <c r="U6" s="360">
        <v>7.48</v>
      </c>
      <c r="V6" s="360">
        <v>81.8549120621025</v>
      </c>
      <c r="W6" s="357">
        <v>63.505324443843371</v>
      </c>
    </row>
    <row r="7" spans="2:23" x14ac:dyDescent="0.25">
      <c r="B7" s="302"/>
      <c r="C7" s="40" t="s">
        <v>65</v>
      </c>
      <c r="D7" s="211"/>
      <c r="E7" s="211"/>
      <c r="F7" s="211"/>
      <c r="G7" s="212">
        <v>2.81E-2</v>
      </c>
      <c r="H7" s="228">
        <f>0.000066022502042648*10^6</f>
        <v>66.022502042648</v>
      </c>
      <c r="I7" s="212">
        <v>3.0999999999999999E-3</v>
      </c>
      <c r="J7" s="322"/>
      <c r="L7" s="302" t="s">
        <v>65</v>
      </c>
      <c r="M7" s="212">
        <v>2.81E-2</v>
      </c>
      <c r="N7" s="322">
        <f>STDEV(M6:M9)/AVERAGE(M6:M9)*N6</f>
        <v>264.09000817059245</v>
      </c>
      <c r="O7" s="212">
        <v>3.0999999999999999E-3</v>
      </c>
      <c r="P7" s="322">
        <f>STDEV(O6:O9)/AVERAGE(O6:O9)*P6</f>
        <v>17.255168038154867</v>
      </c>
      <c r="S7" s="366" t="s">
        <v>64</v>
      </c>
      <c r="T7" s="361">
        <v>0</v>
      </c>
      <c r="U7" s="361">
        <v>7.96</v>
      </c>
      <c r="V7" s="361">
        <v>81.8549120621025</v>
      </c>
      <c r="W7" s="358">
        <v>67.580532429544547</v>
      </c>
    </row>
    <row r="8" spans="2:23" x14ac:dyDescent="0.25">
      <c r="B8" s="302"/>
      <c r="C8" s="40"/>
      <c r="D8" s="211"/>
      <c r="E8" s="211"/>
      <c r="F8" s="211"/>
      <c r="G8" s="212">
        <v>3.6400000000000002E-2</v>
      </c>
      <c r="H8" s="228"/>
      <c r="I8" s="212">
        <v>3.8E-3</v>
      </c>
      <c r="J8" s="322"/>
      <c r="L8" s="302"/>
      <c r="M8" s="212">
        <v>3.6400000000000002E-2</v>
      </c>
      <c r="N8" s="228"/>
      <c r="O8" s="212">
        <v>3.8E-3</v>
      </c>
      <c r="P8" s="322"/>
      <c r="S8" s="366" t="s">
        <v>65</v>
      </c>
      <c r="T8" s="361">
        <v>0</v>
      </c>
      <c r="U8" s="361">
        <v>7.85</v>
      </c>
      <c r="V8" s="361">
        <v>60.989763111390481</v>
      </c>
      <c r="W8" s="358">
        <v>89.447045022833933</v>
      </c>
    </row>
    <row r="9" spans="2:23" x14ac:dyDescent="0.25">
      <c r="B9" s="303"/>
      <c r="C9" s="219"/>
      <c r="D9" s="213"/>
      <c r="E9" s="213"/>
      <c r="F9" s="213"/>
      <c r="G9" s="214">
        <v>2.63E-2</v>
      </c>
      <c r="H9" s="229"/>
      <c r="I9" s="214">
        <v>3.8E-3</v>
      </c>
      <c r="J9" s="323"/>
      <c r="L9" s="303"/>
      <c r="M9" s="214">
        <v>2.63E-2</v>
      </c>
      <c r="N9" s="229"/>
      <c r="O9" s="214">
        <v>3.8E-3</v>
      </c>
      <c r="P9" s="323"/>
      <c r="S9" s="293" t="s">
        <v>383</v>
      </c>
      <c r="T9" s="361">
        <v>0</v>
      </c>
      <c r="U9" s="361">
        <v>7.77</v>
      </c>
      <c r="V9" s="361">
        <v>60.989763111390481</v>
      </c>
      <c r="W9" s="358">
        <v>88.535482780563029</v>
      </c>
    </row>
    <row r="10" spans="2:23" x14ac:dyDescent="0.25">
      <c r="B10" s="304" t="s">
        <v>133</v>
      </c>
      <c r="C10" s="216" t="s">
        <v>64</v>
      </c>
      <c r="D10" s="217">
        <v>0.52112149532710217</v>
      </c>
      <c r="E10" s="217">
        <v>0.93245714456606721</v>
      </c>
      <c r="F10" s="217">
        <v>9.3245714456606734</v>
      </c>
      <c r="G10" s="218">
        <v>4.6699999999999998E-2</v>
      </c>
      <c r="H10" s="230">
        <f>0.00217394958381616*10^6</f>
        <v>2173.9495838161602</v>
      </c>
      <c r="I10" s="218">
        <v>2.8E-3</v>
      </c>
      <c r="J10" s="324">
        <f>0.000157862185163266*10^6</f>
        <v>157.86218516326599</v>
      </c>
      <c r="L10" s="304" t="s">
        <v>64</v>
      </c>
      <c r="M10" s="218">
        <v>4.6699999999999998E-2</v>
      </c>
      <c r="N10" s="230">
        <f>0.00217394958381616*10^6</f>
        <v>2173.9495838161602</v>
      </c>
      <c r="O10" s="218">
        <v>2.8E-3</v>
      </c>
      <c r="P10" s="324">
        <f>0.000157862185163266*10^6</f>
        <v>157.86218516326599</v>
      </c>
      <c r="S10" s="293"/>
      <c r="T10" s="35"/>
      <c r="U10" s="35"/>
      <c r="V10" s="361"/>
      <c r="W10" s="260"/>
    </row>
    <row r="11" spans="2:23" x14ac:dyDescent="0.25">
      <c r="B11" s="302"/>
      <c r="C11" s="40" t="s">
        <v>65</v>
      </c>
      <c r="D11" s="211"/>
      <c r="E11" s="211"/>
      <c r="F11" s="211"/>
      <c r="G11" s="212">
        <v>0.04</v>
      </c>
      <c r="H11" s="228">
        <f>0.0000570561553537869*10^6</f>
        <v>57.056155353786899</v>
      </c>
      <c r="I11" s="212">
        <v>2.7000000000000001E-3</v>
      </c>
      <c r="J11" s="322"/>
      <c r="L11" s="302" t="s">
        <v>65</v>
      </c>
      <c r="M11" s="212">
        <v>0.04</v>
      </c>
      <c r="N11" s="322">
        <f>STDEV(M10:M13)/AVERAGE(M10:M13)*N10</f>
        <v>228.2246214151499</v>
      </c>
      <c r="O11" s="212">
        <v>2.7000000000000001E-3</v>
      </c>
      <c r="P11" s="322">
        <f>STDEV(O10:O13)/AVERAGE(O10:O13)*P10</f>
        <v>23.325603801124814</v>
      </c>
      <c r="S11" s="293"/>
      <c r="T11" s="35"/>
      <c r="U11" s="35"/>
      <c r="V11" s="361"/>
      <c r="W11" s="260"/>
    </row>
    <row r="12" spans="2:23" x14ac:dyDescent="0.25">
      <c r="B12" s="302"/>
      <c r="C12" s="40"/>
      <c r="D12" s="211"/>
      <c r="E12" s="211"/>
      <c r="F12" s="211"/>
      <c r="G12" s="212">
        <v>3.6799999999999999E-2</v>
      </c>
      <c r="H12" s="228"/>
      <c r="I12" s="212">
        <v>3.5999999999999999E-3</v>
      </c>
      <c r="J12" s="322"/>
      <c r="L12" s="302"/>
      <c r="M12" s="212">
        <v>3.6799999999999999E-2</v>
      </c>
      <c r="N12" s="228"/>
      <c r="O12" s="212">
        <v>3.5999999999999999E-3</v>
      </c>
      <c r="P12" s="322"/>
      <c r="S12" s="366" t="s">
        <v>231</v>
      </c>
      <c r="T12" s="361">
        <v>0</v>
      </c>
      <c r="U12" s="361">
        <v>6.79</v>
      </c>
      <c r="V12" s="361">
        <v>94.429714666027593</v>
      </c>
      <c r="W12" s="358">
        <v>49.970579329979778</v>
      </c>
    </row>
    <row r="13" spans="2:23" x14ac:dyDescent="0.25">
      <c r="B13" s="303"/>
      <c r="C13" s="219"/>
      <c r="D13" s="213"/>
      <c r="E13" s="213"/>
      <c r="F13" s="213"/>
      <c r="G13" s="214">
        <v>3.9E-2</v>
      </c>
      <c r="H13" s="229"/>
      <c r="I13" s="214">
        <v>2.7000000000000001E-3</v>
      </c>
      <c r="J13" s="323"/>
      <c r="L13" s="303"/>
      <c r="M13" s="214">
        <v>3.9E-2</v>
      </c>
      <c r="N13" s="229"/>
      <c r="O13" s="214">
        <v>2.7000000000000001E-3</v>
      </c>
      <c r="P13" s="323"/>
      <c r="S13" s="366" t="s">
        <v>199</v>
      </c>
      <c r="T13" s="361">
        <v>0</v>
      </c>
      <c r="U13" s="361">
        <v>6.8</v>
      </c>
      <c r="V13" s="361">
        <v>94.429714666027593</v>
      </c>
      <c r="W13" s="358">
        <v>50.044173703072538</v>
      </c>
    </row>
    <row r="14" spans="2:23" x14ac:dyDescent="0.25">
      <c r="B14" s="304" t="s">
        <v>134</v>
      </c>
      <c r="C14" s="216" t="s">
        <v>64</v>
      </c>
      <c r="D14" s="217">
        <v>0.61142857142856755</v>
      </c>
      <c r="E14" s="217">
        <v>1.0912651552741774</v>
      </c>
      <c r="F14" s="217">
        <v>10.912651552741774</v>
      </c>
      <c r="G14" s="218">
        <v>8.2699999999999996E-2</v>
      </c>
      <c r="H14" s="230">
        <f>0.00423757637398527*10^6</f>
        <v>4237.57637398527</v>
      </c>
      <c r="I14" s="218">
        <v>1.9E-3</v>
      </c>
      <c r="J14" s="324">
        <f>0.000149581516610792*10^6</f>
        <v>149.58151661079199</v>
      </c>
      <c r="L14" s="304" t="s">
        <v>64</v>
      </c>
      <c r="M14" s="218">
        <v>8.2699999999999996E-2</v>
      </c>
      <c r="N14" s="230">
        <f>0.00423757637398527*10^6</f>
        <v>4237.57637398527</v>
      </c>
      <c r="O14" s="218">
        <v>1.9E-3</v>
      </c>
      <c r="P14" s="324">
        <f>0.000149581516610792*10^6</f>
        <v>149.58151661079199</v>
      </c>
      <c r="S14" s="366" t="s">
        <v>65</v>
      </c>
      <c r="T14" s="361">
        <v>0</v>
      </c>
      <c r="U14" s="361">
        <v>5.47</v>
      </c>
      <c r="V14" s="361">
        <v>92.827804915375765</v>
      </c>
      <c r="W14" s="358">
        <v>40.950813446515966</v>
      </c>
    </row>
    <row r="15" spans="2:23" ht="13.8" thickBot="1" x14ac:dyDescent="0.3">
      <c r="B15" s="305"/>
      <c r="C15" s="40" t="s">
        <v>65</v>
      </c>
      <c r="D15" s="211"/>
      <c r="E15" s="211"/>
      <c r="F15" s="211"/>
      <c r="G15" s="212">
        <v>6.3600000000000004E-2</v>
      </c>
      <c r="H15" s="228">
        <f>0.000257432146820367*10^6</f>
        <v>257.432146820367</v>
      </c>
      <c r="I15" s="212">
        <v>1.1000000000000001E-3</v>
      </c>
      <c r="J15" s="322"/>
      <c r="L15" s="302" t="s">
        <v>65</v>
      </c>
      <c r="M15" s="212">
        <v>6.3600000000000004E-2</v>
      </c>
      <c r="N15" s="322">
        <f>STDEV(M14:M17)/AVERAGE(M14:M17)*N14</f>
        <v>1029.7285872814689</v>
      </c>
      <c r="O15" s="212">
        <v>1.1000000000000001E-3</v>
      </c>
      <c r="P15" s="322">
        <f>STDEV(O14:O17)/AVERAGE(O14:O17)*P14</f>
        <v>65.451110868540539</v>
      </c>
      <c r="S15" s="367" t="s">
        <v>384</v>
      </c>
      <c r="T15" s="359">
        <v>0</v>
      </c>
      <c r="U15" s="359">
        <v>8.2200000000000006</v>
      </c>
      <c r="V15" s="359">
        <v>92.827804915375765</v>
      </c>
      <c r="W15" s="364">
        <v>61.53851673315561</v>
      </c>
    </row>
    <row r="16" spans="2:23" x14ac:dyDescent="0.25">
      <c r="B16" s="305"/>
      <c r="C16" s="148"/>
      <c r="D16" s="211"/>
      <c r="E16" s="211"/>
      <c r="F16" s="211"/>
      <c r="G16" s="212">
        <v>4.7199999999999999E-2</v>
      </c>
      <c r="H16" s="228"/>
      <c r="I16" s="212">
        <v>3.3999999999999998E-3</v>
      </c>
      <c r="J16" s="322"/>
      <c r="L16" s="305"/>
      <c r="M16" s="212">
        <v>4.7199999999999999E-2</v>
      </c>
      <c r="N16" s="228"/>
      <c r="O16" s="212">
        <v>3.3999999999999998E-3</v>
      </c>
      <c r="P16" s="322"/>
    </row>
    <row r="17" spans="2:16" x14ac:dyDescent="0.25">
      <c r="B17" s="306"/>
      <c r="C17" s="225"/>
      <c r="D17" s="213"/>
      <c r="E17" s="213"/>
      <c r="F17" s="213"/>
      <c r="G17" s="214">
        <v>5.5800000000000002E-2</v>
      </c>
      <c r="H17" s="215"/>
      <c r="I17" s="214">
        <v>2.3999999999999998E-3</v>
      </c>
      <c r="J17" s="323"/>
      <c r="L17" s="306"/>
      <c r="M17" s="214">
        <v>5.5800000000000002E-2</v>
      </c>
      <c r="N17" s="215"/>
      <c r="O17" s="214">
        <v>2.3999999999999998E-3</v>
      </c>
      <c r="P17" s="323"/>
    </row>
    <row r="18" spans="2:16" x14ac:dyDescent="0.25">
      <c r="B18" s="304">
        <v>37</v>
      </c>
      <c r="C18" s="216" t="s">
        <v>64</v>
      </c>
      <c r="D18" s="217">
        <v>0.64347826086956561</v>
      </c>
      <c r="E18" s="217">
        <v>1.0646033156764936</v>
      </c>
      <c r="F18" s="217">
        <v>10.646033156764936</v>
      </c>
      <c r="G18" s="208"/>
      <c r="H18" s="220"/>
      <c r="I18" s="218">
        <v>1.1000000000000001E-3</v>
      </c>
      <c r="J18" s="324">
        <f>0.000126281774682347*10^6</f>
        <v>126.28177468234701</v>
      </c>
      <c r="L18" s="304" t="s">
        <v>199</v>
      </c>
      <c r="M18" s="208">
        <v>1.61E-2</v>
      </c>
      <c r="N18" s="230">
        <f>0.000689166629903952*10^6</f>
        <v>689.16662990395196</v>
      </c>
      <c r="O18" s="208">
        <v>9.5999999999999992E-3</v>
      </c>
      <c r="P18" s="324">
        <f>0.00041626089202211*10^6</f>
        <v>416.26089202211</v>
      </c>
    </row>
    <row r="19" spans="2:16" x14ac:dyDescent="0.25">
      <c r="B19" s="302"/>
      <c r="C19" s="40" t="s">
        <v>65</v>
      </c>
      <c r="D19" s="211"/>
      <c r="E19" s="211"/>
      <c r="F19" s="211"/>
      <c r="G19" s="35"/>
      <c r="H19" s="221"/>
      <c r="I19" s="212">
        <v>2.3999999999999998E-3</v>
      </c>
      <c r="J19" s="322"/>
      <c r="L19" s="302" t="s">
        <v>65</v>
      </c>
      <c r="M19" s="35">
        <v>1.5100000000000001E-2</v>
      </c>
      <c r="N19" s="322">
        <f>STDEV(M18:M21)/AVERAGE(M18:M21)*N18</f>
        <v>61.394021056823711</v>
      </c>
      <c r="O19" s="35">
        <v>9.7000000000000003E-3</v>
      </c>
      <c r="P19" s="322">
        <f>STDEV(O18:O21)/AVERAGE(O18:O21)*P18</f>
        <v>14.299418144980642</v>
      </c>
    </row>
    <row r="20" spans="2:16" x14ac:dyDescent="0.25">
      <c r="B20" s="302"/>
      <c r="C20" s="40"/>
      <c r="D20" s="211"/>
      <c r="E20" s="211"/>
      <c r="F20" s="211"/>
      <c r="G20" s="35"/>
      <c r="H20" s="221"/>
      <c r="I20" s="212">
        <v>2.2000000000000001E-3</v>
      </c>
      <c r="J20" s="322"/>
      <c r="L20" s="307"/>
      <c r="M20" s="35">
        <v>1.54E-2</v>
      </c>
      <c r="N20" s="35"/>
      <c r="O20" s="35">
        <v>9.5999999999999992E-3</v>
      </c>
      <c r="P20" s="322"/>
    </row>
    <row r="21" spans="2:16" x14ac:dyDescent="0.25">
      <c r="B21" s="303"/>
      <c r="C21" s="219"/>
      <c r="D21" s="213"/>
      <c r="E21" s="213"/>
      <c r="F21" s="213"/>
      <c r="G21" s="222"/>
      <c r="H21" s="223"/>
      <c r="I21" s="214">
        <v>2.2000000000000001E-3</v>
      </c>
      <c r="J21" s="323"/>
      <c r="L21" s="308"/>
      <c r="M21" s="222">
        <v>1.83E-2</v>
      </c>
      <c r="N21" s="222"/>
      <c r="O21" s="222">
        <v>1.03E-2</v>
      </c>
      <c r="P21" s="323"/>
    </row>
    <row r="22" spans="2:16" x14ac:dyDescent="0.25">
      <c r="B22" s="304">
        <v>38</v>
      </c>
      <c r="C22" s="216" t="s">
        <v>64</v>
      </c>
      <c r="D22" s="217">
        <v>0.49475616151022372</v>
      </c>
      <c r="E22" s="217">
        <v>0.8262523279834092</v>
      </c>
      <c r="F22" s="217">
        <v>8.2625232798340917</v>
      </c>
      <c r="G22" s="208"/>
      <c r="H22" s="220"/>
      <c r="I22" s="218">
        <v>6.9999999999999999E-4</v>
      </c>
      <c r="J22" s="324">
        <f>0.0000630526418810871*10^6</f>
        <v>63.052641881087105</v>
      </c>
      <c r="L22" s="304" t="s">
        <v>199</v>
      </c>
      <c r="M22" s="208">
        <v>1.55E-2</v>
      </c>
      <c r="N22" s="230">
        <f>0.00104244635744226*10^6</f>
        <v>1042.44635744226</v>
      </c>
      <c r="O22" s="208">
        <v>9.1000000000000004E-3</v>
      </c>
      <c r="P22" s="324">
        <f>0.000401432356236701*10^6</f>
        <v>401.43235623670103</v>
      </c>
    </row>
    <row r="23" spans="2:16" x14ac:dyDescent="0.25">
      <c r="B23" s="302"/>
      <c r="C23" s="40" t="s">
        <v>65</v>
      </c>
      <c r="D23" s="211"/>
      <c r="E23" s="211"/>
      <c r="F23" s="211"/>
      <c r="G23" s="35"/>
      <c r="H23" s="221"/>
      <c r="I23" s="212">
        <v>6.9999999999999999E-4</v>
      </c>
      <c r="J23" s="322"/>
      <c r="L23" s="302" t="s">
        <v>65</v>
      </c>
      <c r="M23" s="35">
        <v>2.9700000000000001E-2</v>
      </c>
      <c r="N23" s="322">
        <f>STDEV(M22:M25)/AVERAGE(M22:M25)*N22</f>
        <v>265.22324582556388</v>
      </c>
      <c r="O23" s="35">
        <v>9.1000000000000004E-3</v>
      </c>
      <c r="P23" s="322">
        <f>STDEV(O22:O25)/AVERAGE(O22:O25)*P22</f>
        <v>16.078237806619192</v>
      </c>
    </row>
    <row r="24" spans="2:16" x14ac:dyDescent="0.25">
      <c r="B24" s="302"/>
      <c r="C24" s="40"/>
      <c r="D24" s="211"/>
      <c r="E24" s="211"/>
      <c r="F24" s="211"/>
      <c r="G24" s="35"/>
      <c r="H24" s="221"/>
      <c r="I24" s="212">
        <v>1.6999999999999999E-3</v>
      </c>
      <c r="J24" s="322"/>
      <c r="L24" s="307"/>
      <c r="M24" s="35">
        <v>2.5499999999999998E-2</v>
      </c>
      <c r="N24" s="35"/>
      <c r="O24" s="35">
        <v>9.7999999999999997E-3</v>
      </c>
      <c r="P24" s="322"/>
    </row>
    <row r="25" spans="2:16" x14ac:dyDescent="0.25">
      <c r="B25" s="303"/>
      <c r="C25" s="219"/>
      <c r="D25" s="213"/>
      <c r="E25" s="213"/>
      <c r="F25" s="213"/>
      <c r="G25" s="222"/>
      <c r="H25" s="223"/>
      <c r="I25" s="214">
        <v>1.6999999999999999E-3</v>
      </c>
      <c r="J25" s="323"/>
      <c r="L25" s="308"/>
      <c r="M25" s="222">
        <v>2.7199999999999998E-2</v>
      </c>
      <c r="N25" s="222"/>
      <c r="O25" s="222">
        <v>9.7000000000000003E-3</v>
      </c>
      <c r="P25" s="323"/>
    </row>
    <row r="26" spans="2:16" x14ac:dyDescent="0.25">
      <c r="B26" s="304">
        <v>39</v>
      </c>
      <c r="C26" s="216" t="s">
        <v>64</v>
      </c>
      <c r="D26" s="217">
        <v>0.36211356078335183</v>
      </c>
      <c r="E26" s="217">
        <v>0.60675235072233391</v>
      </c>
      <c r="F26" s="217">
        <v>6.0675235072233393</v>
      </c>
      <c r="G26" s="208"/>
      <c r="H26" s="220"/>
      <c r="I26" s="218">
        <v>0</v>
      </c>
      <c r="J26" s="324">
        <f>2.47654020702991E-06*10^6</f>
        <v>2.4765402070299101</v>
      </c>
      <c r="L26" s="304" t="s">
        <v>199</v>
      </c>
      <c r="M26" s="208"/>
      <c r="N26" s="230">
        <f>0.0015921953571426*10^6</f>
        <v>1592.1953571426</v>
      </c>
      <c r="O26" s="208">
        <v>9.1000000000000004E-3</v>
      </c>
      <c r="P26" s="324">
        <f>0.000401432356236701*10^6</f>
        <v>401.43235623670103</v>
      </c>
    </row>
    <row r="27" spans="2:16" x14ac:dyDescent="0.25">
      <c r="B27" s="302"/>
      <c r="C27" s="40" t="s">
        <v>187</v>
      </c>
      <c r="D27" s="211"/>
      <c r="E27" s="211"/>
      <c r="F27" s="211"/>
      <c r="G27" s="35"/>
      <c r="H27" s="221"/>
      <c r="I27" s="212">
        <v>0</v>
      </c>
      <c r="J27" s="322"/>
      <c r="L27" s="302" t="s">
        <v>65</v>
      </c>
      <c r="M27" s="35">
        <v>3.7100000000000001E-2</v>
      </c>
      <c r="N27" s="322">
        <f>STDEV(M26:M29)/AVERAGE(M26:M29)*N26</f>
        <v>9.1408833613743621</v>
      </c>
      <c r="O27" s="35">
        <v>9.1000000000000004E-3</v>
      </c>
      <c r="P27" s="322">
        <f>STDEV(O26:O29)/AVERAGE(O26:O29)*P26</f>
        <v>16.078237806619192</v>
      </c>
    </row>
    <row r="28" spans="2:16" x14ac:dyDescent="0.25">
      <c r="B28" s="307"/>
      <c r="C28" s="198"/>
      <c r="D28" s="211"/>
      <c r="E28" s="211"/>
      <c r="F28" s="211"/>
      <c r="G28" s="35"/>
      <c r="H28" s="35"/>
      <c r="I28" s="212">
        <v>0</v>
      </c>
      <c r="J28" s="322"/>
      <c r="L28" s="307"/>
      <c r="M28" s="35">
        <v>3.6799999999999999E-2</v>
      </c>
      <c r="N28" s="35"/>
      <c r="O28" s="35">
        <v>9.7999999999999997E-3</v>
      </c>
      <c r="P28" s="322"/>
    </row>
    <row r="29" spans="2:16" ht="13.8" thickBot="1" x14ac:dyDescent="0.3">
      <c r="B29" s="308"/>
      <c r="C29" s="201"/>
      <c r="D29" s="213"/>
      <c r="E29" s="213"/>
      <c r="F29" s="213"/>
      <c r="G29" s="222"/>
      <c r="H29" s="222"/>
      <c r="I29" s="214">
        <v>2.0000000000000001E-4</v>
      </c>
      <c r="J29" s="323"/>
      <c r="L29" s="309"/>
      <c r="M29" s="204"/>
      <c r="N29" s="204"/>
      <c r="O29" s="204">
        <v>9.7000000000000003E-3</v>
      </c>
      <c r="P29" s="325"/>
    </row>
    <row r="30" spans="2:16" ht="13.8" thickTop="1" x14ac:dyDescent="0.25">
      <c r="B30" s="304">
        <v>44</v>
      </c>
      <c r="C30" s="216" t="s">
        <v>199</v>
      </c>
      <c r="D30" s="217">
        <v>0.46899661781285673</v>
      </c>
      <c r="E30" s="217">
        <v>0.660808943675119</v>
      </c>
      <c r="F30" s="217">
        <v>6.6080894367511904</v>
      </c>
      <c r="G30" s="226"/>
      <c r="H30" s="226"/>
      <c r="I30" s="208">
        <v>5.4999999999999997E-3</v>
      </c>
      <c r="J30" s="324">
        <f>0.000235095489576723*10^6</f>
        <v>235.095489576723</v>
      </c>
      <c r="L30" s="195"/>
      <c r="M30" s="195"/>
      <c r="N30" s="195"/>
      <c r="O30" s="195"/>
      <c r="P30" s="195"/>
    </row>
    <row r="31" spans="2:16" x14ac:dyDescent="0.25">
      <c r="B31" s="305"/>
      <c r="C31" s="40" t="s">
        <v>65</v>
      </c>
      <c r="D31" s="211"/>
      <c r="E31" s="211"/>
      <c r="F31" s="211"/>
      <c r="G31" s="198"/>
      <c r="H31" s="198"/>
      <c r="I31" s="35">
        <v>5.8999999999999999E-3</v>
      </c>
      <c r="J31" s="322"/>
    </row>
    <row r="32" spans="2:16" x14ac:dyDescent="0.25">
      <c r="B32" s="307"/>
      <c r="C32" s="198"/>
      <c r="D32" s="211"/>
      <c r="E32" s="211"/>
      <c r="F32" s="211"/>
      <c r="G32" s="198"/>
      <c r="H32" s="198"/>
      <c r="I32" s="35">
        <v>5.4000000000000003E-3</v>
      </c>
      <c r="J32" s="322"/>
    </row>
    <row r="33" spans="2:10" x14ac:dyDescent="0.25">
      <c r="B33" s="308"/>
      <c r="C33" s="201"/>
      <c r="D33" s="213"/>
      <c r="E33" s="213"/>
      <c r="F33" s="213"/>
      <c r="G33" s="201"/>
      <c r="H33" s="201"/>
      <c r="I33" s="222">
        <v>5.4000000000000003E-3</v>
      </c>
      <c r="J33" s="323"/>
    </row>
    <row r="46" spans="2:10" x14ac:dyDescent="0.25">
      <c r="B46" s="12"/>
      <c r="C46" s="12"/>
      <c r="D46" s="12"/>
      <c r="E46" s="12"/>
      <c r="F46" s="12"/>
      <c r="G46" s="12"/>
      <c r="H46" s="12"/>
      <c r="I46" s="12"/>
      <c r="J46" s="12"/>
    </row>
    <row r="47" spans="2:10" x14ac:dyDescent="0.25">
      <c r="B47" s="12"/>
      <c r="C47" s="12"/>
      <c r="D47" s="12"/>
      <c r="E47" s="12"/>
      <c r="F47" s="12"/>
      <c r="G47" s="12"/>
      <c r="H47" s="12"/>
      <c r="I47" s="12"/>
      <c r="J47" s="12"/>
    </row>
    <row r="48" spans="2:10" ht="13.8" thickBot="1" x14ac:dyDescent="0.3"/>
    <row r="49" spans="2:7" ht="13.8" thickTop="1" x14ac:dyDescent="0.25">
      <c r="B49" s="317" t="s">
        <v>287</v>
      </c>
      <c r="C49" s="318"/>
      <c r="D49" s="319" t="s">
        <v>290</v>
      </c>
      <c r="E49" s="319" t="s">
        <v>291</v>
      </c>
      <c r="F49" s="319" t="s">
        <v>292</v>
      </c>
      <c r="G49" s="320" t="s">
        <v>342</v>
      </c>
    </row>
    <row r="50" spans="2:7" ht="13.8" thickBot="1" x14ac:dyDescent="0.3">
      <c r="B50" s="202"/>
      <c r="C50" s="203"/>
      <c r="D50" s="204" t="s">
        <v>295</v>
      </c>
      <c r="E50" s="204" t="s">
        <v>295</v>
      </c>
      <c r="F50" s="204" t="s">
        <v>296</v>
      </c>
      <c r="G50" s="205" t="s">
        <v>304</v>
      </c>
    </row>
    <row r="51" spans="2:7" ht="13.8" thickTop="1" x14ac:dyDescent="0.25">
      <c r="B51" s="311" t="s">
        <v>281</v>
      </c>
      <c r="C51" s="199" t="s">
        <v>230</v>
      </c>
      <c r="D51" s="200">
        <v>0</v>
      </c>
      <c r="E51" s="200">
        <v>7.48</v>
      </c>
      <c r="F51" s="200">
        <v>81.8549120621025</v>
      </c>
      <c r="G51" s="312">
        <f>(E51/1000*D$62)/D$64/(F51/1000)</f>
        <v>63.505324443843371</v>
      </c>
    </row>
    <row r="52" spans="2:7" x14ac:dyDescent="0.25">
      <c r="B52" s="307" t="s">
        <v>282</v>
      </c>
      <c r="C52" s="176" t="s">
        <v>64</v>
      </c>
      <c r="D52" s="197">
        <v>0</v>
      </c>
      <c r="E52" s="197">
        <v>7.96</v>
      </c>
      <c r="F52" s="197">
        <v>81.8549120621025</v>
      </c>
      <c r="G52" s="313">
        <f>(E52/1000*D$62)/D$64/(F52/1000)</f>
        <v>67.580532429544547</v>
      </c>
    </row>
    <row r="53" spans="2:7" x14ac:dyDescent="0.25">
      <c r="B53" s="307" t="s">
        <v>288</v>
      </c>
      <c r="C53" s="176" t="s">
        <v>65</v>
      </c>
      <c r="D53" s="197">
        <v>0</v>
      </c>
      <c r="E53" s="197">
        <v>7.85</v>
      </c>
      <c r="F53" s="197">
        <v>60.989763111390481</v>
      </c>
      <c r="G53" s="313">
        <f>(E53/1000*D$62)/D$64/(F53/1000)</f>
        <v>89.447045022833933</v>
      </c>
    </row>
    <row r="54" spans="2:7" x14ac:dyDescent="0.25">
      <c r="B54" s="307" t="s">
        <v>289</v>
      </c>
      <c r="C54" s="12"/>
      <c r="D54" s="197">
        <v>0</v>
      </c>
      <c r="E54" s="197">
        <v>7.77</v>
      </c>
      <c r="F54" s="197">
        <v>60.989763111390481</v>
      </c>
      <c r="G54" s="313">
        <f>(E54/1000*D$62)/D$64/(F54/1000)</f>
        <v>88.535482780563029</v>
      </c>
    </row>
    <row r="55" spans="2:7" x14ac:dyDescent="0.25">
      <c r="B55" s="307"/>
      <c r="C55" s="12"/>
      <c r="D55" s="198"/>
      <c r="E55" s="198"/>
      <c r="F55" s="197"/>
      <c r="G55" s="314"/>
    </row>
    <row r="56" spans="2:7" x14ac:dyDescent="0.25">
      <c r="B56" s="307"/>
      <c r="C56" s="12"/>
      <c r="D56" s="198"/>
      <c r="E56" s="198"/>
      <c r="F56" s="197"/>
      <c r="G56" s="314"/>
    </row>
    <row r="57" spans="2:7" x14ac:dyDescent="0.25">
      <c r="B57" s="307" t="s">
        <v>283</v>
      </c>
      <c r="C57" s="176" t="s">
        <v>231</v>
      </c>
      <c r="D57" s="197">
        <v>0</v>
      </c>
      <c r="E57" s="197">
        <v>6.79</v>
      </c>
      <c r="F57" s="197">
        <v>94.429714666027593</v>
      </c>
      <c r="G57" s="313">
        <f>(E57/1000*D$62)/D$64/(F57/1000)</f>
        <v>49.970579329979778</v>
      </c>
    </row>
    <row r="58" spans="2:7" x14ac:dyDescent="0.25">
      <c r="B58" s="307" t="s">
        <v>284</v>
      </c>
      <c r="C58" s="176" t="s">
        <v>199</v>
      </c>
      <c r="D58" s="197">
        <v>0</v>
      </c>
      <c r="E58" s="197">
        <v>6.8</v>
      </c>
      <c r="F58" s="197">
        <v>94.429714666027593</v>
      </c>
      <c r="G58" s="313">
        <f>(E58/1000*D$62)/D$64/(F58/1000)</f>
        <v>50.044173703072538</v>
      </c>
    </row>
    <row r="59" spans="2:7" x14ac:dyDescent="0.25">
      <c r="B59" s="307" t="s">
        <v>285</v>
      </c>
      <c r="C59" s="176" t="s">
        <v>65</v>
      </c>
      <c r="D59" s="197">
        <v>0</v>
      </c>
      <c r="E59" s="197">
        <v>5.47</v>
      </c>
      <c r="F59" s="197">
        <v>92.827804915375765</v>
      </c>
      <c r="G59" s="313">
        <f>(E59/1000*D$62)/D$64/(F59/1000)</f>
        <v>40.950813446515966</v>
      </c>
    </row>
    <row r="60" spans="2:7" ht="13.8" thickBot="1" x14ac:dyDescent="0.3">
      <c r="B60" s="309" t="s">
        <v>286</v>
      </c>
      <c r="C60" s="196"/>
      <c r="D60" s="315">
        <v>0</v>
      </c>
      <c r="E60" s="315">
        <v>8.2200000000000006</v>
      </c>
      <c r="F60" s="315">
        <v>92.827804915375765</v>
      </c>
      <c r="G60" s="316">
        <f>(E60/1000*D$62)/D$64/(F60/1000)</f>
        <v>61.53851673315561</v>
      </c>
    </row>
    <row r="61" spans="2:7" ht="13.8" thickTop="1" x14ac:dyDescent="0.25"/>
    <row r="62" spans="2:7" x14ac:dyDescent="0.25">
      <c r="B62" t="s">
        <v>293</v>
      </c>
      <c r="D62" s="6">
        <v>3.53</v>
      </c>
    </row>
    <row r="63" spans="2:7" x14ac:dyDescent="0.25">
      <c r="B63" t="s">
        <v>294</v>
      </c>
    </row>
    <row r="64" spans="2:7" x14ac:dyDescent="0.25">
      <c r="B64" t="s">
        <v>297</v>
      </c>
      <c r="D64">
        <f>23/28.3/160</f>
        <v>5.0795053003533566E-3</v>
      </c>
    </row>
    <row r="65" spans="2:6" x14ac:dyDescent="0.25">
      <c r="B65" t="s">
        <v>298</v>
      </c>
    </row>
    <row r="68" spans="2:6" ht="13.8" thickBot="1" x14ac:dyDescent="0.3">
      <c r="B68" t="s">
        <v>360</v>
      </c>
    </row>
    <row r="69" spans="2:6" ht="40.799999999999997" thickTop="1" thickBot="1" x14ac:dyDescent="0.3">
      <c r="B69" s="343"/>
      <c r="C69" s="344" t="s">
        <v>364</v>
      </c>
      <c r="D69" s="345" t="s">
        <v>363</v>
      </c>
    </row>
    <row r="70" spans="2:6" ht="13.8" thickTop="1" x14ac:dyDescent="0.25">
      <c r="B70" s="346" t="s">
        <v>231</v>
      </c>
      <c r="C70" s="209">
        <v>1.4673753655946182E-2</v>
      </c>
      <c r="D70" s="347">
        <f>C70/(1000*0.23)</f>
        <v>6.3798928938896442E-5</v>
      </c>
      <c r="F70" t="s">
        <v>361</v>
      </c>
    </row>
    <row r="71" spans="2:6" x14ac:dyDescent="0.25">
      <c r="B71" s="337" t="s">
        <v>65</v>
      </c>
      <c r="C71" s="35"/>
      <c r="D71" s="207"/>
    </row>
    <row r="72" spans="2:6" x14ac:dyDescent="0.25">
      <c r="B72" s="337" t="s">
        <v>230</v>
      </c>
      <c r="C72" s="348">
        <v>2.4718705211601636E-2</v>
      </c>
      <c r="D72" s="349">
        <f>C72/(1000*0.1925)</f>
        <v>1.2840885824208642E-4</v>
      </c>
    </row>
    <row r="73" spans="2:6" x14ac:dyDescent="0.25">
      <c r="B73" s="337" t="s">
        <v>67</v>
      </c>
      <c r="C73" s="348"/>
      <c r="D73" s="207"/>
    </row>
    <row r="74" spans="2:6" x14ac:dyDescent="0.25">
      <c r="B74" s="337" t="s">
        <v>230</v>
      </c>
      <c r="C74" s="348">
        <v>8.6460440927549707E-3</v>
      </c>
      <c r="D74" s="349">
        <f>C74/(1000*0.1925)</f>
        <v>4.4914514767558289E-5</v>
      </c>
    </row>
    <row r="75" spans="2:6" ht="13.8" thickBot="1" x14ac:dyDescent="0.3">
      <c r="B75" s="341" t="s">
        <v>65</v>
      </c>
      <c r="C75" s="350"/>
      <c r="D75" s="205"/>
    </row>
    <row r="76" spans="2:6" ht="40.799999999999997" thickTop="1" thickBot="1" x14ac:dyDescent="0.3">
      <c r="B76" s="343"/>
      <c r="C76" s="344" t="s">
        <v>365</v>
      </c>
      <c r="D76" s="345" t="s">
        <v>366</v>
      </c>
    </row>
    <row r="77" spans="2:6" ht="27" thickTop="1" x14ac:dyDescent="0.25">
      <c r="B77" s="351" t="s">
        <v>362</v>
      </c>
      <c r="C77" s="352">
        <v>1.2E-4</v>
      </c>
      <c r="D77" s="347">
        <f>C77*D70</f>
        <v>7.6558714726675732E-9</v>
      </c>
    </row>
    <row r="78" spans="2:6" x14ac:dyDescent="0.25">
      <c r="B78" s="307"/>
      <c r="C78" s="198"/>
      <c r="D78" s="349">
        <f>C77*D72</f>
        <v>1.5409062989050371E-8</v>
      </c>
    </row>
    <row r="79" spans="2:6" ht="13.8" thickBot="1" x14ac:dyDescent="0.3">
      <c r="B79" s="309"/>
      <c r="C79" s="310"/>
      <c r="D79" s="353">
        <f>C77*D74</f>
        <v>5.3897417721069951E-9</v>
      </c>
    </row>
    <row r="80" spans="2:6" ht="13.8" thickTop="1" x14ac:dyDescent="0.25"/>
  </sheetData>
  <pageMargins left="0.17" right="0.21" top="0.32" bottom="0.33" header="0.23" footer="0.2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Total Tests</vt:lpstr>
      <vt:lpstr>Cr(VI) results</vt:lpstr>
      <vt:lpstr>PM2.5</vt:lpstr>
      <vt:lpstr>Gas Tests</vt:lpstr>
      <vt:lpstr>Emmsn Factrs</vt:lpstr>
      <vt:lpstr>AWS Calib</vt:lpstr>
      <vt:lpstr>Wire</vt:lpstr>
      <vt:lpstr>FGR vs Size</vt:lpstr>
      <vt:lpstr>SteelCrVIRslt</vt:lpstr>
      <vt:lpstr>EmissionFactorSummaryTable</vt:lpstr>
      <vt:lpstr>EmissionFactorSummaryTable!Print_Area</vt:lpstr>
      <vt:lpstr>'Emmsn Factrs'!Print_Area</vt:lpstr>
      <vt:lpstr>'Gas Tests'!Print_Area</vt:lpstr>
      <vt:lpstr>SteelCrVIRslt!Print_Area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Heung</dc:creator>
  <cp:lastModifiedBy>Vacaru, Maria@ARB</cp:lastModifiedBy>
  <cp:lastPrinted>2004-08-03T21:15:59Z</cp:lastPrinted>
  <dcterms:created xsi:type="dcterms:W3CDTF">2002-04-25T10:10:58Z</dcterms:created>
  <dcterms:modified xsi:type="dcterms:W3CDTF">2021-07-15T15:36:05Z</dcterms:modified>
</cp:coreProperties>
</file>