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mc:AlternateContent xmlns:mc="http://schemas.openxmlformats.org/markup-compatibility/2006">
    <mc:Choice Requires="x15">
      <x15ac:absPath xmlns:x15ac="http://schemas.microsoft.com/office/spreadsheetml/2010/11/ac" url="D:\WFH\FRIP\QM\Final\"/>
    </mc:Choice>
  </mc:AlternateContent>
  <xr:revisionPtr revIDLastSave="0" documentId="13_ncr:1_{90139A32-CF66-4E12-839F-31C17BA8F5B2}" xr6:coauthVersionLast="44" xr6:coauthVersionMax="44" xr10:uidLastSave="{00000000-0000-0000-0000-000000000000}"/>
  <workbookProtection workbookAlgorithmName="SHA-512" workbookHashValue="yJ3uyAI3vXljTH6xET+rlivfvYL8X3/+TW+CMYEJQQt2ULbiYg74rgTEJN9Pjx1FdOtHBwEuHeNZYiWeF2HSGg==" workbookSaltValue="drHX+jgzj7PC66tnn5HiaA==" workbookSpinCount="100000" lockStructure="1"/>
  <bookViews>
    <workbookView xWindow="28680" yWindow="-2100" windowWidth="29040" windowHeight="16440" tabRatio="840" xr2:uid="{00000000-000D-0000-FFFF-FFFF00000000}"/>
  </bookViews>
  <sheets>
    <sheet name="Read Me" sheetId="17" r:id="rId1"/>
    <sheet name="Project Info" sheetId="24" r:id="rId2"/>
    <sheet name="Inputs" sheetId="42" r:id="rId3"/>
    <sheet name="Inputs_AB1550" sheetId="38" state="hidden" r:id="rId4"/>
    <sheet name="Benefits Summary" sheetId="22" r:id="rId5"/>
    <sheet name="Definitions -AND- Conversions" sheetId="29" r:id="rId6"/>
    <sheet name="Documentation" sheetId="26" r:id="rId7"/>
    <sheet name="Eligibility Reference" sheetId="45" r:id="rId8"/>
    <sheet name="Calculations &lt;HIDE&gt;" sheetId="33" state="hidden" r:id="rId9"/>
    <sheet name="Emission Factors &lt;HIDE&gt;" sheetId="32" state="hidden" r:id="rId10"/>
    <sheet name="Fuel Prices &lt;HIDE&gt;" sheetId="39" state="hidden" r:id="rId11"/>
    <sheet name="Defaults &lt;HIDE&gt;" sheetId="31" state="hidden" r:id="rId12"/>
    <sheet name="CCIRTS &lt;HIDE&gt;" sheetId="44" state="hidden" r:id="rId13"/>
  </sheets>
  <externalReferences>
    <externalReference r:id="rId14"/>
    <externalReference r:id="rId15"/>
  </externalReferences>
  <definedNames>
    <definedName name="_ftnref2" localSheetId="10">'Fuel Prices &lt;HIDE&gt;'!$B$25</definedName>
    <definedName name="_Toc525572044" localSheetId="10">'Fuel Prices &lt;HIDE&gt;'!$B$16</definedName>
    <definedName name="BCS">'[1]Other '!$J$17:$J$18</definedName>
    <definedName name="County">'[1]Other '!$A$2:$A$59</definedName>
    <definedName name="Fuels">'[1]Other '!$F$2:$F$8</definedName>
    <definedName name="Hundred">'[1]Other '!$E$17:$E$37</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onanaerobic">'[1]Other '!$C$2:$C$15</definedName>
    <definedName name="_xlnm.Print_Area" localSheetId="4">'Benefits Summary'!$B$1:$E$38</definedName>
    <definedName name="_xlnm.Print_Area" localSheetId="8">'Calculations &lt;HIDE&gt;'!$A$1:$F$30</definedName>
    <definedName name="_xlnm.Print_Area" localSheetId="6">Documentation!$A$1:$F$31</definedName>
    <definedName name="_xlnm.Print_Area" localSheetId="7">'Eligibility Reference'!$A$1:$F$145</definedName>
    <definedName name="_xlnm.Print_Area" localSheetId="10">'Fuel Prices &lt;HIDE&gt;'!$A$1:$F$36</definedName>
    <definedName name="_xlnm.Print_Area" localSheetId="3">Inputs_AB1550!$A$1:$F$46</definedName>
    <definedName name="_xlnm.Print_Area" localSheetId="1">'Project Info'!$B$1:$D$39</definedName>
    <definedName name="solsep">'[1]Other '!$J$31:$J$38</definedName>
    <definedName name="sources">'[1]Other '!$J$23:$J$26</definedName>
    <definedName name="yes">'[1]Other '!$J$28:$J$29</definedName>
    <definedName name="YN">'[1]Other '!$J$28:$J$29</definedName>
  </definedNames>
  <calcPr calcId="191029"/>
  <customWorkbookViews>
    <customWorkbookView name="Jimmy Steele - Personal View" guid="{DEDCE137-B42D-4581-9621-E878B14CB7C9}" mergeInterval="0" personalView="1" maximized="1" xWindow="-8"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3" i="42" l="1"/>
  <c r="AH24" i="42"/>
  <c r="AH25" i="42"/>
  <c r="AH26" i="42"/>
  <c r="AH27" i="42"/>
  <c r="AH28" i="42"/>
  <c r="AH29" i="42"/>
  <c r="AH30" i="42"/>
  <c r="AH31" i="42"/>
  <c r="AH32" i="42"/>
  <c r="AH33" i="42"/>
  <c r="AH34" i="42"/>
  <c r="AH35" i="42"/>
  <c r="AH36" i="42"/>
  <c r="AH37" i="42"/>
  <c r="AH38" i="42"/>
  <c r="AH39" i="42"/>
  <c r="AH40" i="42"/>
  <c r="AH41" i="42"/>
  <c r="AJ23" i="42" l="1"/>
  <c r="AJ24" i="42"/>
  <c r="AJ25" i="42"/>
  <c r="AJ26" i="42"/>
  <c r="AJ27" i="42"/>
  <c r="AJ28" i="42"/>
  <c r="AJ29" i="42"/>
  <c r="AJ30" i="42"/>
  <c r="AJ31" i="42"/>
  <c r="AJ32" i="42"/>
  <c r="AJ33" i="42"/>
  <c r="AJ34" i="42"/>
  <c r="AJ35" i="42"/>
  <c r="AJ36" i="42"/>
  <c r="AJ37" i="42"/>
  <c r="AJ38" i="42"/>
  <c r="AJ39" i="42"/>
  <c r="AJ40" i="42"/>
  <c r="AJ41" i="42"/>
  <c r="AC23" i="42" l="1"/>
  <c r="AC24" i="42"/>
  <c r="AC25" i="42"/>
  <c r="AC26" i="42"/>
  <c r="AC27" i="42"/>
  <c r="AC28" i="42"/>
  <c r="AC29" i="42"/>
  <c r="AC30" i="42"/>
  <c r="AC31" i="42"/>
  <c r="AC32" i="42"/>
  <c r="AC33" i="42"/>
  <c r="AC34" i="42"/>
  <c r="AC35" i="42"/>
  <c r="AC36" i="42"/>
  <c r="AC37" i="42"/>
  <c r="AC38" i="42"/>
  <c r="AC39" i="42"/>
  <c r="AC40" i="42"/>
  <c r="AC41" i="42"/>
  <c r="AI23" i="42" l="1"/>
  <c r="AI24" i="42"/>
  <c r="AI25" i="42"/>
  <c r="AI26" i="42"/>
  <c r="AI27" i="42"/>
  <c r="AI28" i="42"/>
  <c r="AI29" i="42"/>
  <c r="AI30" i="42"/>
  <c r="AI31" i="42"/>
  <c r="AI32" i="42"/>
  <c r="AI33" i="42"/>
  <c r="AI34" i="42"/>
  <c r="AI35" i="42"/>
  <c r="AI36" i="42"/>
  <c r="AI37" i="42"/>
  <c r="AI38" i="42"/>
  <c r="AI39" i="42"/>
  <c r="AI40" i="42"/>
  <c r="AI41" i="42"/>
  <c r="AI22" i="42"/>
  <c r="AI42" i="42" l="1"/>
  <c r="AD41" i="42"/>
  <c r="AD24" i="42"/>
  <c r="AD25" i="42"/>
  <c r="AD26" i="42"/>
  <c r="AD27" i="42"/>
  <c r="AD28" i="42"/>
  <c r="AD29" i="42"/>
  <c r="AD30" i="42"/>
  <c r="AD31" i="42"/>
  <c r="AD32" i="42"/>
  <c r="AD33" i="42"/>
  <c r="AD34" i="42"/>
  <c r="AD35" i="42"/>
  <c r="AD36" i="42"/>
  <c r="AD37" i="42"/>
  <c r="AD38" i="42"/>
  <c r="AD39" i="42"/>
  <c r="AD40" i="42"/>
  <c r="C18" i="22" l="1"/>
  <c r="C17" i="22"/>
  <c r="C22" i="22"/>
  <c r="C21" i="22"/>
  <c r="C19" i="22"/>
  <c r="C20" i="22"/>
  <c r="C16" i="22"/>
  <c r="D41" i="42" l="1"/>
  <c r="D40" i="42"/>
  <c r="D39" i="42"/>
  <c r="D38" i="42"/>
  <c r="D37" i="42"/>
  <c r="D36" i="42"/>
  <c r="D35" i="42"/>
  <c r="D34" i="42"/>
  <c r="D33" i="42"/>
  <c r="D32" i="42"/>
  <c r="D31" i="42"/>
  <c r="D30" i="42"/>
  <c r="D29" i="42"/>
  <c r="D28" i="42"/>
  <c r="D27" i="42"/>
  <c r="D26" i="42"/>
  <c r="D25" i="42"/>
  <c r="D24" i="42"/>
  <c r="D23" i="42"/>
  <c r="C23" i="42"/>
  <c r="C13" i="22" l="1"/>
  <c r="Y23" i="42" l="1"/>
  <c r="Y24" i="42"/>
  <c r="Y25" i="42"/>
  <c r="Y26" i="42"/>
  <c r="Y27" i="42"/>
  <c r="Y28" i="42"/>
  <c r="Y29" i="42"/>
  <c r="Y30" i="42"/>
  <c r="Y31" i="42"/>
  <c r="Y32" i="42"/>
  <c r="Y33" i="42"/>
  <c r="Y34" i="42"/>
  <c r="Y35" i="42"/>
  <c r="Y36" i="42"/>
  <c r="Y37" i="42"/>
  <c r="Y38" i="42"/>
  <c r="Y39" i="42"/>
  <c r="Y40" i="42"/>
  <c r="Y41" i="42"/>
  <c r="X23" i="42"/>
  <c r="X22" i="42"/>
  <c r="Y22" i="42"/>
  <c r="X24" i="42"/>
  <c r="X25" i="42"/>
  <c r="X26" i="42"/>
  <c r="X27" i="42"/>
  <c r="X28" i="42"/>
  <c r="X29" i="42"/>
  <c r="X30" i="42"/>
  <c r="X31" i="42"/>
  <c r="X32" i="42"/>
  <c r="X33" i="42"/>
  <c r="X34" i="42"/>
  <c r="X35" i="42"/>
  <c r="X36" i="42"/>
  <c r="X37" i="42"/>
  <c r="X38" i="42"/>
  <c r="X39" i="42"/>
  <c r="X40" i="42"/>
  <c r="X41" i="42"/>
  <c r="W24" i="42" l="1"/>
  <c r="W25" i="42"/>
  <c r="W26" i="42"/>
  <c r="W27" i="42"/>
  <c r="W28" i="42"/>
  <c r="W29" i="42"/>
  <c r="W30" i="42"/>
  <c r="W31" i="42"/>
  <c r="W32" i="42"/>
  <c r="W33" i="42"/>
  <c r="W34" i="42"/>
  <c r="W35" i="42"/>
  <c r="W36" i="42"/>
  <c r="W37" i="42"/>
  <c r="W38" i="42"/>
  <c r="W39" i="42"/>
  <c r="W40" i="42"/>
  <c r="W41" i="42"/>
  <c r="W22" i="42"/>
  <c r="AH22" i="42" l="1"/>
  <c r="AJ22" i="42"/>
  <c r="U22" i="42"/>
  <c r="AB22" i="42"/>
  <c r="I23" i="42"/>
  <c r="V23" i="42"/>
  <c r="V24" i="42"/>
  <c r="V25" i="42"/>
  <c r="V26" i="42"/>
  <c r="V27" i="42"/>
  <c r="V28" i="42"/>
  <c r="V29" i="42"/>
  <c r="V30" i="42"/>
  <c r="V31" i="42"/>
  <c r="V32" i="42"/>
  <c r="V33" i="42"/>
  <c r="V34" i="42"/>
  <c r="V35" i="42"/>
  <c r="V36" i="42"/>
  <c r="V37" i="42"/>
  <c r="V38" i="42"/>
  <c r="V39" i="42"/>
  <c r="V40" i="42"/>
  <c r="V41" i="42"/>
  <c r="V22" i="42"/>
  <c r="U23" i="42"/>
  <c r="U24" i="42"/>
  <c r="U25" i="42"/>
  <c r="U26" i="42"/>
  <c r="U27" i="42"/>
  <c r="U28" i="42"/>
  <c r="U29" i="42"/>
  <c r="U30" i="42"/>
  <c r="U31" i="42"/>
  <c r="U32" i="42"/>
  <c r="U33" i="42"/>
  <c r="U34" i="42"/>
  <c r="U35" i="42"/>
  <c r="U36" i="42"/>
  <c r="U37" i="42"/>
  <c r="U38" i="42"/>
  <c r="U39" i="42"/>
  <c r="U40" i="42"/>
  <c r="U41" i="42"/>
  <c r="I22" i="42"/>
  <c r="AK22" i="42" l="1"/>
  <c r="AH42" i="42"/>
  <c r="C16" i="33"/>
  <c r="I24" i="42"/>
  <c r="W23" i="42"/>
  <c r="AF24" i="42" l="1"/>
  <c r="E15" i="45"/>
  <c r="D15" i="45"/>
  <c r="I25" i="42" l="1"/>
  <c r="I26" i="42"/>
  <c r="Z22" i="42"/>
  <c r="AF26" i="42" l="1"/>
  <c r="AF25" i="42"/>
  <c r="I27" i="42"/>
  <c r="C41" i="22"/>
  <c r="C33" i="22" s="1"/>
  <c r="D41" i="22"/>
  <c r="D33" i="22" s="1"/>
  <c r="E41" i="22"/>
  <c r="E33" i="22" s="1"/>
  <c r="AF27" i="42" l="1"/>
  <c r="I28" i="42"/>
  <c r="AB26" i="42"/>
  <c r="AE26" i="42" s="1"/>
  <c r="AB27" i="42"/>
  <c r="AE27" i="42" s="1"/>
  <c r="AB28" i="42"/>
  <c r="AB29" i="42"/>
  <c r="AB30" i="42"/>
  <c r="AB31" i="42"/>
  <c r="AB32" i="42"/>
  <c r="AB33" i="42"/>
  <c r="AB34" i="42"/>
  <c r="AB35" i="42"/>
  <c r="AB36" i="42"/>
  <c r="AB37" i="42"/>
  <c r="AB38" i="42"/>
  <c r="AB39" i="42"/>
  <c r="AB40" i="42"/>
  <c r="AB41" i="42"/>
  <c r="T23" i="42"/>
  <c r="T24" i="42"/>
  <c r="T25" i="42"/>
  <c r="T26" i="42"/>
  <c r="T27" i="42"/>
  <c r="T28" i="42"/>
  <c r="T29" i="42"/>
  <c r="T30" i="42"/>
  <c r="T31" i="42"/>
  <c r="T32" i="42"/>
  <c r="T33" i="42"/>
  <c r="T34" i="42"/>
  <c r="T35" i="42"/>
  <c r="T36" i="42"/>
  <c r="T37" i="42"/>
  <c r="T38" i="42"/>
  <c r="T39" i="42"/>
  <c r="T40" i="42"/>
  <c r="T41" i="42"/>
  <c r="T22" i="42"/>
  <c r="AC22" i="42" s="1"/>
  <c r="AC42" i="42" s="1"/>
  <c r="C41" i="42"/>
  <c r="C40" i="42"/>
  <c r="C39" i="42"/>
  <c r="C38" i="42"/>
  <c r="C37" i="42"/>
  <c r="C36" i="42"/>
  <c r="C35" i="42"/>
  <c r="C34" i="42"/>
  <c r="C33" i="42"/>
  <c r="C32" i="42"/>
  <c r="C31" i="42"/>
  <c r="C30" i="42"/>
  <c r="C29" i="42"/>
  <c r="C28" i="42"/>
  <c r="C27" i="42"/>
  <c r="C26" i="42"/>
  <c r="C25" i="42"/>
  <c r="AB25" i="42" s="1"/>
  <c r="AE25" i="42" s="1"/>
  <c r="C24" i="42"/>
  <c r="AB24" i="42" s="1"/>
  <c r="AE24" i="42" s="1"/>
  <c r="AB23" i="42"/>
  <c r="AD23" i="42" s="1"/>
  <c r="AF28" i="42" l="1"/>
  <c r="AE28" i="42"/>
  <c r="I29" i="42"/>
  <c r="AK42" i="42"/>
  <c r="AE29" i="42" l="1"/>
  <c r="AF29" i="42"/>
  <c r="I30" i="42"/>
  <c r="AJ42" i="42"/>
  <c r="C29" i="33"/>
  <c r="Z23" i="42"/>
  <c r="AE23" i="42" s="1"/>
  <c r="Z24" i="42"/>
  <c r="Z25" i="42"/>
  <c r="Z26" i="42"/>
  <c r="Z27" i="42"/>
  <c r="Z28" i="42"/>
  <c r="Z29" i="42"/>
  <c r="Z30" i="42"/>
  <c r="Z31" i="42"/>
  <c r="Z32" i="42"/>
  <c r="Z33" i="42"/>
  <c r="Z34" i="42"/>
  <c r="Z35" i="42"/>
  <c r="Z36" i="42"/>
  <c r="Z37" i="42"/>
  <c r="Z38" i="42"/>
  <c r="Z39" i="42"/>
  <c r="Z40" i="42"/>
  <c r="Z41" i="42"/>
  <c r="AA25" i="42"/>
  <c r="AA24" i="42"/>
  <c r="AA23" i="42"/>
  <c r="AF23" i="42" s="1"/>
  <c r="AA26" i="42"/>
  <c r="AA27" i="42"/>
  <c r="AA28" i="42"/>
  <c r="AA29" i="42"/>
  <c r="AA30" i="42"/>
  <c r="AA31" i="42"/>
  <c r="AA32" i="42"/>
  <c r="AA33" i="42"/>
  <c r="AA34" i="42"/>
  <c r="AA35" i="42"/>
  <c r="AA36" i="42"/>
  <c r="AA37" i="42"/>
  <c r="AA38" i="42"/>
  <c r="AA39" i="42"/>
  <c r="AA40" i="42"/>
  <c r="AA41" i="42"/>
  <c r="AA22" i="42"/>
  <c r="S22" i="42"/>
  <c r="AE22" i="42" s="1"/>
  <c r="S23" i="42"/>
  <c r="S24" i="42"/>
  <c r="S25" i="42"/>
  <c r="S26" i="42"/>
  <c r="S27" i="42"/>
  <c r="S28" i="42"/>
  <c r="S29" i="42"/>
  <c r="S30" i="42"/>
  <c r="S31" i="42"/>
  <c r="S32" i="42"/>
  <c r="S33" i="42"/>
  <c r="S34" i="42"/>
  <c r="S35" i="42"/>
  <c r="S36" i="42"/>
  <c r="S37" i="42"/>
  <c r="S38" i="42"/>
  <c r="S39" i="42"/>
  <c r="S40" i="42"/>
  <c r="S41" i="42"/>
  <c r="AF22" i="42" l="1"/>
  <c r="AD22" i="42"/>
  <c r="AD42" i="42" s="1"/>
  <c r="AF30" i="42"/>
  <c r="AE30" i="42"/>
  <c r="I31" i="42"/>
  <c r="D16" i="33"/>
  <c r="C28" i="33"/>
  <c r="AF31" i="42" l="1"/>
  <c r="AE31" i="42"/>
  <c r="I32" i="42"/>
  <c r="AF32" i="42" l="1"/>
  <c r="AE32" i="42"/>
  <c r="I33" i="42"/>
  <c r="AF33" i="42" l="1"/>
  <c r="AE33" i="42"/>
  <c r="I34" i="42"/>
  <c r="U3" i="44"/>
  <c r="U4" i="44"/>
  <c r="U5" i="44"/>
  <c r="U6" i="44"/>
  <c r="U7" i="44"/>
  <c r="U8" i="44"/>
  <c r="U9" i="44"/>
  <c r="U10" i="44"/>
  <c r="U11" i="44"/>
  <c r="U12" i="44"/>
  <c r="U13" i="44"/>
  <c r="U14" i="44"/>
  <c r="U15" i="44"/>
  <c r="U16" i="44"/>
  <c r="U17" i="44"/>
  <c r="U18" i="44"/>
  <c r="U19" i="44"/>
  <c r="U20" i="44"/>
  <c r="U21" i="44"/>
  <c r="U22" i="44"/>
  <c r="U23" i="44"/>
  <c r="U24" i="44"/>
  <c r="U25" i="44"/>
  <c r="U26" i="44"/>
  <c r="U27" i="44"/>
  <c r="U28" i="44"/>
  <c r="U29" i="44"/>
  <c r="U30" i="44"/>
  <c r="U31" i="44"/>
  <c r="U32" i="44"/>
  <c r="R3" i="44"/>
  <c r="R4" i="44"/>
  <c r="R5" i="44"/>
  <c r="R6" i="44"/>
  <c r="R8" i="44"/>
  <c r="R9" i="44"/>
  <c r="R10" i="44"/>
  <c r="R11" i="44"/>
  <c r="R12" i="44"/>
  <c r="R13" i="44"/>
  <c r="R14" i="44"/>
  <c r="R15" i="44"/>
  <c r="R16" i="44"/>
  <c r="R17" i="44"/>
  <c r="R18" i="44"/>
  <c r="R19" i="44"/>
  <c r="R20" i="44"/>
  <c r="R21" i="44"/>
  <c r="R22" i="44"/>
  <c r="R23" i="44"/>
  <c r="R24" i="44"/>
  <c r="R25" i="44"/>
  <c r="R26" i="44"/>
  <c r="R27" i="44"/>
  <c r="R28" i="44"/>
  <c r="R29" i="44"/>
  <c r="R30" i="44"/>
  <c r="R31" i="44"/>
  <c r="R32" i="44"/>
  <c r="S3" i="44"/>
  <c r="AE34" i="42" l="1"/>
  <c r="AF34" i="42"/>
  <c r="I35" i="42"/>
  <c r="AE35" i="42" l="1"/>
  <c r="AF35" i="42"/>
  <c r="I36" i="42"/>
  <c r="C42" i="29"/>
  <c r="C40" i="29"/>
  <c r="AE36" i="42" l="1"/>
  <c r="AF36" i="42"/>
  <c r="I37" i="42"/>
  <c r="AF37" i="42" l="1"/>
  <c r="AE37" i="42"/>
  <c r="I38" i="42"/>
  <c r="D32" i="45"/>
  <c r="E32" i="45"/>
  <c r="F32" i="45"/>
  <c r="D55" i="45"/>
  <c r="E55" i="45"/>
  <c r="F55" i="45"/>
  <c r="D63" i="45"/>
  <c r="E63" i="45"/>
  <c r="F63" i="45"/>
  <c r="D99" i="45"/>
  <c r="E99" i="45"/>
  <c r="F99" i="45"/>
  <c r="D100" i="45"/>
  <c r="E100" i="45"/>
  <c r="F100" i="45"/>
  <c r="D111" i="45"/>
  <c r="E111" i="45"/>
  <c r="F111" i="45"/>
  <c r="D117" i="45"/>
  <c r="E117" i="45"/>
  <c r="F117" i="45"/>
  <c r="D118" i="45"/>
  <c r="E118" i="45"/>
  <c r="F118" i="45"/>
  <c r="D119" i="45"/>
  <c r="E119" i="45"/>
  <c r="F119" i="45"/>
  <c r="D120" i="45"/>
  <c r="E120" i="45"/>
  <c r="F120" i="45"/>
  <c r="D27" i="45"/>
  <c r="E27" i="45"/>
  <c r="F27" i="45"/>
  <c r="D28" i="45"/>
  <c r="E28" i="45"/>
  <c r="F28" i="45"/>
  <c r="D29" i="45"/>
  <c r="E29" i="45"/>
  <c r="F29" i="45"/>
  <c r="D30" i="45"/>
  <c r="E30" i="45"/>
  <c r="F30" i="45"/>
  <c r="D31" i="45"/>
  <c r="E31" i="45"/>
  <c r="F31" i="45"/>
  <c r="D33" i="45"/>
  <c r="E33" i="45"/>
  <c r="F33" i="45"/>
  <c r="D34" i="45"/>
  <c r="E34" i="45"/>
  <c r="F34" i="45"/>
  <c r="D35" i="45"/>
  <c r="E35" i="45"/>
  <c r="F35" i="45"/>
  <c r="D36" i="45"/>
  <c r="E36" i="45"/>
  <c r="F36" i="45"/>
  <c r="D37" i="45"/>
  <c r="E37" i="45"/>
  <c r="F37" i="45"/>
  <c r="D38" i="45"/>
  <c r="E38" i="45"/>
  <c r="F38" i="45"/>
  <c r="D39" i="45"/>
  <c r="E39" i="45"/>
  <c r="F39" i="45"/>
  <c r="D40" i="45"/>
  <c r="E40" i="45"/>
  <c r="F40" i="45"/>
  <c r="D41" i="45"/>
  <c r="E41" i="45"/>
  <c r="F41" i="45"/>
  <c r="D42" i="45"/>
  <c r="E42" i="45"/>
  <c r="F42" i="45"/>
  <c r="D43" i="45"/>
  <c r="E43" i="45"/>
  <c r="F43" i="45"/>
  <c r="D44" i="45"/>
  <c r="E44" i="45"/>
  <c r="F44" i="45"/>
  <c r="D45" i="45"/>
  <c r="E45" i="45"/>
  <c r="F45" i="45"/>
  <c r="D46" i="45"/>
  <c r="E46" i="45"/>
  <c r="F46" i="45"/>
  <c r="D47" i="45"/>
  <c r="E47" i="45"/>
  <c r="F47" i="45"/>
  <c r="D48" i="45"/>
  <c r="E48" i="45"/>
  <c r="F48" i="45"/>
  <c r="D49" i="45"/>
  <c r="E49" i="45"/>
  <c r="F49" i="45"/>
  <c r="D50" i="45"/>
  <c r="E50" i="45"/>
  <c r="F50" i="45"/>
  <c r="D51" i="45"/>
  <c r="E51" i="45"/>
  <c r="F51" i="45"/>
  <c r="D52" i="45"/>
  <c r="E52" i="45"/>
  <c r="F52" i="45"/>
  <c r="D53" i="45"/>
  <c r="E53" i="45"/>
  <c r="F53" i="45"/>
  <c r="D54" i="45"/>
  <c r="E54" i="45"/>
  <c r="F54" i="45"/>
  <c r="D56" i="45"/>
  <c r="E56" i="45"/>
  <c r="F56" i="45"/>
  <c r="D57" i="45"/>
  <c r="E57" i="45"/>
  <c r="F57" i="45"/>
  <c r="D58" i="45"/>
  <c r="E58" i="45"/>
  <c r="F58" i="45"/>
  <c r="D59" i="45"/>
  <c r="E59" i="45"/>
  <c r="F59" i="45"/>
  <c r="D60" i="45"/>
  <c r="E60" i="45"/>
  <c r="F60" i="45"/>
  <c r="D61" i="45"/>
  <c r="E61" i="45"/>
  <c r="F61" i="45"/>
  <c r="D62" i="45"/>
  <c r="E62" i="45"/>
  <c r="F62" i="45"/>
  <c r="D64" i="45"/>
  <c r="E64" i="45"/>
  <c r="F64" i="45"/>
  <c r="D65" i="45"/>
  <c r="E65" i="45"/>
  <c r="F65" i="45"/>
  <c r="D66" i="45"/>
  <c r="E66" i="45"/>
  <c r="F66" i="45"/>
  <c r="D67" i="45"/>
  <c r="E67" i="45"/>
  <c r="F67" i="45"/>
  <c r="D68" i="45"/>
  <c r="E68" i="45"/>
  <c r="F68" i="45"/>
  <c r="D69" i="45"/>
  <c r="E69" i="45"/>
  <c r="F69" i="45"/>
  <c r="D70" i="45"/>
  <c r="E70" i="45"/>
  <c r="F70" i="45"/>
  <c r="D71" i="45"/>
  <c r="E71" i="45"/>
  <c r="F71" i="45"/>
  <c r="D72" i="45"/>
  <c r="E72" i="45"/>
  <c r="F72" i="45"/>
  <c r="D73" i="45"/>
  <c r="E73" i="45"/>
  <c r="F73" i="45"/>
  <c r="D74" i="45"/>
  <c r="E74" i="45"/>
  <c r="F74" i="45"/>
  <c r="D75" i="45"/>
  <c r="E75" i="45"/>
  <c r="F75" i="45"/>
  <c r="D76" i="45"/>
  <c r="E76" i="45"/>
  <c r="F76" i="45"/>
  <c r="D77" i="45"/>
  <c r="E77" i="45"/>
  <c r="F77" i="45"/>
  <c r="D78" i="45"/>
  <c r="E78" i="45"/>
  <c r="F78" i="45"/>
  <c r="D79" i="45"/>
  <c r="E79" i="45"/>
  <c r="F79" i="45"/>
  <c r="D80" i="45"/>
  <c r="E80" i="45"/>
  <c r="F80" i="45"/>
  <c r="D81" i="45"/>
  <c r="E81" i="45"/>
  <c r="F81" i="45"/>
  <c r="D82" i="45"/>
  <c r="E82" i="45"/>
  <c r="F82" i="45"/>
  <c r="D83" i="45"/>
  <c r="E83" i="45"/>
  <c r="F83" i="45"/>
  <c r="D84" i="45"/>
  <c r="E84" i="45"/>
  <c r="F84" i="45"/>
  <c r="D85" i="45"/>
  <c r="E85" i="45"/>
  <c r="F85" i="45"/>
  <c r="D86" i="45"/>
  <c r="E86" i="45"/>
  <c r="F86" i="45"/>
  <c r="D87" i="45"/>
  <c r="E87" i="45"/>
  <c r="F87" i="45"/>
  <c r="D88" i="45"/>
  <c r="E88" i="45"/>
  <c r="F88" i="45"/>
  <c r="D89" i="45"/>
  <c r="E89" i="45"/>
  <c r="F89" i="45"/>
  <c r="D90" i="45"/>
  <c r="E90" i="45"/>
  <c r="F90" i="45"/>
  <c r="D91" i="45"/>
  <c r="E91" i="45"/>
  <c r="F91" i="45"/>
  <c r="D92" i="45"/>
  <c r="E92" i="45"/>
  <c r="F92" i="45"/>
  <c r="D93" i="45"/>
  <c r="E93" i="45"/>
  <c r="F93" i="45"/>
  <c r="D94" i="45"/>
  <c r="E94" i="45"/>
  <c r="F94" i="45"/>
  <c r="D95" i="45"/>
  <c r="E95" i="45"/>
  <c r="F95" i="45"/>
  <c r="D96" i="45"/>
  <c r="E96" i="45"/>
  <c r="F96" i="45"/>
  <c r="D97" i="45"/>
  <c r="E97" i="45"/>
  <c r="F97" i="45"/>
  <c r="D98" i="45"/>
  <c r="E98" i="45"/>
  <c r="F98" i="45"/>
  <c r="D101" i="45"/>
  <c r="E101" i="45"/>
  <c r="F101" i="45"/>
  <c r="D102" i="45"/>
  <c r="E102" i="45"/>
  <c r="F102" i="45"/>
  <c r="D103" i="45"/>
  <c r="E103" i="45"/>
  <c r="F103" i="45"/>
  <c r="D104" i="45"/>
  <c r="E104" i="45"/>
  <c r="F104" i="45"/>
  <c r="D105" i="45"/>
  <c r="E105" i="45"/>
  <c r="F105" i="45"/>
  <c r="D106" i="45"/>
  <c r="E106" i="45"/>
  <c r="F106" i="45"/>
  <c r="D107" i="45"/>
  <c r="E107" i="45"/>
  <c r="F107" i="45"/>
  <c r="D108" i="45"/>
  <c r="E108" i="45"/>
  <c r="F108" i="45"/>
  <c r="D109" i="45"/>
  <c r="E109" i="45"/>
  <c r="F109" i="45"/>
  <c r="D110" i="45"/>
  <c r="E110" i="45"/>
  <c r="F110" i="45"/>
  <c r="D112" i="45"/>
  <c r="E112" i="45"/>
  <c r="F112" i="45"/>
  <c r="D113" i="45"/>
  <c r="E113" i="45"/>
  <c r="F113" i="45"/>
  <c r="D114" i="45"/>
  <c r="E114" i="45"/>
  <c r="F114" i="45"/>
  <c r="D115" i="45"/>
  <c r="E115" i="45"/>
  <c r="F115" i="45"/>
  <c r="D116" i="45"/>
  <c r="E116" i="45"/>
  <c r="F116" i="45"/>
  <c r="D121" i="45"/>
  <c r="E121" i="45"/>
  <c r="F121" i="45"/>
  <c r="D122" i="45"/>
  <c r="E122" i="45"/>
  <c r="F122" i="45"/>
  <c r="D123" i="45"/>
  <c r="E123" i="45"/>
  <c r="F123" i="45"/>
  <c r="D124" i="45"/>
  <c r="E124" i="45"/>
  <c r="F124" i="45"/>
  <c r="D125" i="45"/>
  <c r="E125" i="45"/>
  <c r="F125" i="45"/>
  <c r="D126" i="45"/>
  <c r="E126" i="45"/>
  <c r="F126" i="45"/>
  <c r="D127" i="45"/>
  <c r="E127" i="45"/>
  <c r="F127" i="45"/>
  <c r="D128" i="45"/>
  <c r="E128" i="45"/>
  <c r="F128" i="45"/>
  <c r="D129" i="45"/>
  <c r="E129" i="45"/>
  <c r="F129" i="45"/>
  <c r="D130" i="45"/>
  <c r="E130" i="45"/>
  <c r="F130" i="45"/>
  <c r="D131" i="45"/>
  <c r="E131" i="45"/>
  <c r="F131" i="45"/>
  <c r="D132" i="45"/>
  <c r="E132" i="45"/>
  <c r="F132" i="45"/>
  <c r="D133" i="45"/>
  <c r="E133" i="45"/>
  <c r="F133" i="45"/>
  <c r="D134" i="45"/>
  <c r="E134" i="45"/>
  <c r="F134" i="45"/>
  <c r="D135" i="45"/>
  <c r="E135" i="45"/>
  <c r="F135" i="45"/>
  <c r="D136" i="45"/>
  <c r="E136" i="45"/>
  <c r="F136" i="45"/>
  <c r="D137" i="45"/>
  <c r="E137" i="45"/>
  <c r="F137" i="45"/>
  <c r="D138" i="45"/>
  <c r="E138" i="45"/>
  <c r="F138" i="45"/>
  <c r="D139" i="45"/>
  <c r="E139" i="45"/>
  <c r="F139" i="45"/>
  <c r="D140" i="45"/>
  <c r="E140" i="45"/>
  <c r="F140" i="45"/>
  <c r="D141" i="45"/>
  <c r="E141" i="45"/>
  <c r="F141" i="45"/>
  <c r="D142" i="45"/>
  <c r="E142" i="45"/>
  <c r="F142" i="45"/>
  <c r="D143" i="45"/>
  <c r="E143" i="45"/>
  <c r="F143" i="45"/>
  <c r="D144" i="45"/>
  <c r="E144" i="45"/>
  <c r="F144" i="45"/>
  <c r="D145" i="45"/>
  <c r="E145" i="45"/>
  <c r="F145" i="45"/>
  <c r="AF38" i="42" l="1"/>
  <c r="AE38" i="42"/>
  <c r="I39" i="42"/>
  <c r="AL3" i="44"/>
  <c r="K49" i="32"/>
  <c r="L49" i="32"/>
  <c r="K50" i="32"/>
  <c r="L50" i="32"/>
  <c r="K51" i="32"/>
  <c r="L51" i="32"/>
  <c r="K52" i="32"/>
  <c r="L52" i="32"/>
  <c r="K53" i="32"/>
  <c r="L53" i="32"/>
  <c r="K54" i="32"/>
  <c r="L54" i="32"/>
  <c r="K55" i="32"/>
  <c r="L55" i="32"/>
  <c r="K56" i="32"/>
  <c r="L56" i="32"/>
  <c r="K57" i="32"/>
  <c r="L57" i="32"/>
  <c r="K58" i="32"/>
  <c r="L58" i="32"/>
  <c r="K59" i="32"/>
  <c r="L59" i="32"/>
  <c r="K60" i="32"/>
  <c r="L60" i="32"/>
  <c r="K61" i="32"/>
  <c r="L61" i="32"/>
  <c r="K62" i="32"/>
  <c r="L62" i="32"/>
  <c r="K63" i="32"/>
  <c r="L63" i="32"/>
  <c r="K64" i="32"/>
  <c r="L64" i="32"/>
  <c r="K65" i="32"/>
  <c r="L65" i="32"/>
  <c r="K66" i="32"/>
  <c r="L66" i="32"/>
  <c r="K67" i="32"/>
  <c r="L67" i="32"/>
  <c r="K68" i="32"/>
  <c r="L68" i="32"/>
  <c r="K69" i="32"/>
  <c r="L69" i="32"/>
  <c r="K70" i="32"/>
  <c r="L70" i="32"/>
  <c r="K71" i="32"/>
  <c r="L71" i="32"/>
  <c r="K72" i="32"/>
  <c r="L72" i="32"/>
  <c r="K73" i="32"/>
  <c r="L73" i="32"/>
  <c r="K74" i="32"/>
  <c r="L74" i="32"/>
  <c r="K75" i="32"/>
  <c r="L75" i="32"/>
  <c r="K76" i="32"/>
  <c r="L76" i="32"/>
  <c r="K77" i="32"/>
  <c r="L77" i="32"/>
  <c r="K78" i="32"/>
  <c r="L78" i="32"/>
  <c r="K79" i="32"/>
  <c r="L79" i="32"/>
  <c r="K80" i="32"/>
  <c r="L80" i="32"/>
  <c r="K81" i="32"/>
  <c r="L81" i="32"/>
  <c r="K82" i="32"/>
  <c r="L82" i="32"/>
  <c r="K83" i="32"/>
  <c r="L83" i="32"/>
  <c r="K84" i="32"/>
  <c r="L84" i="32"/>
  <c r="K85" i="32"/>
  <c r="L85" i="32"/>
  <c r="K86" i="32"/>
  <c r="L86" i="32"/>
  <c r="K87" i="32"/>
  <c r="L87" i="32"/>
  <c r="K88" i="32"/>
  <c r="L88" i="32"/>
  <c r="K89" i="32"/>
  <c r="L89" i="32"/>
  <c r="K90" i="32"/>
  <c r="L90" i="32"/>
  <c r="K91" i="32"/>
  <c r="L91" i="32"/>
  <c r="K92" i="32"/>
  <c r="L92" i="32"/>
  <c r="K93" i="32"/>
  <c r="L93" i="32"/>
  <c r="K94" i="32"/>
  <c r="L94" i="32"/>
  <c r="K95" i="32"/>
  <c r="L95" i="32"/>
  <c r="K96" i="32"/>
  <c r="L96" i="32"/>
  <c r="K97" i="32"/>
  <c r="L97" i="32"/>
  <c r="K98" i="32"/>
  <c r="L98" i="32"/>
  <c r="K99" i="32"/>
  <c r="L99" i="32"/>
  <c r="K100" i="32"/>
  <c r="L100" i="32"/>
  <c r="K101" i="32"/>
  <c r="L101" i="32"/>
  <c r="K102" i="32"/>
  <c r="L102" i="32"/>
  <c r="K103" i="32"/>
  <c r="L103" i="32"/>
  <c r="K104" i="32"/>
  <c r="L104" i="32"/>
  <c r="K105" i="32"/>
  <c r="L105" i="32"/>
  <c r="K106" i="32"/>
  <c r="L106" i="32"/>
  <c r="K107" i="32"/>
  <c r="L107" i="32"/>
  <c r="K108" i="32"/>
  <c r="L108" i="32"/>
  <c r="K109" i="32"/>
  <c r="L109" i="32"/>
  <c r="K110" i="32"/>
  <c r="L110" i="32"/>
  <c r="K111" i="32"/>
  <c r="L111" i="32"/>
  <c r="K112" i="32"/>
  <c r="L112" i="32"/>
  <c r="K113" i="32"/>
  <c r="L113" i="32"/>
  <c r="K114" i="32"/>
  <c r="L114" i="32"/>
  <c r="K115" i="32"/>
  <c r="L115" i="32"/>
  <c r="K116" i="32"/>
  <c r="L116" i="32"/>
  <c r="K117" i="32"/>
  <c r="L117" i="32"/>
  <c r="K118" i="32"/>
  <c r="L118" i="32"/>
  <c r="K119" i="32"/>
  <c r="L119" i="32"/>
  <c r="K120" i="32"/>
  <c r="L120" i="32"/>
  <c r="K121" i="32"/>
  <c r="L121" i="32"/>
  <c r="K122" i="32"/>
  <c r="L122" i="32"/>
  <c r="K123" i="32"/>
  <c r="L123" i="32"/>
  <c r="K124" i="32"/>
  <c r="L124" i="32"/>
  <c r="K125" i="32"/>
  <c r="L125" i="32"/>
  <c r="K126" i="32"/>
  <c r="L126" i="32"/>
  <c r="K127" i="32"/>
  <c r="L127" i="32"/>
  <c r="K128" i="32"/>
  <c r="L128" i="32"/>
  <c r="K129" i="32"/>
  <c r="L129" i="32"/>
  <c r="K130" i="32"/>
  <c r="L130" i="32"/>
  <c r="K131" i="32"/>
  <c r="L131" i="32"/>
  <c r="K132" i="32"/>
  <c r="L132" i="32"/>
  <c r="K133" i="32"/>
  <c r="L133" i="32"/>
  <c r="K134" i="32"/>
  <c r="L134" i="32"/>
  <c r="K135" i="32"/>
  <c r="L135" i="32"/>
  <c r="K136" i="32"/>
  <c r="L136" i="32"/>
  <c r="K137" i="32"/>
  <c r="L137" i="32"/>
  <c r="K138" i="32"/>
  <c r="L138" i="32"/>
  <c r="K139" i="32"/>
  <c r="L139" i="32"/>
  <c r="K140" i="32"/>
  <c r="L140" i="32"/>
  <c r="K141" i="32"/>
  <c r="L141" i="32"/>
  <c r="K142" i="32"/>
  <c r="L142" i="32"/>
  <c r="K143" i="32"/>
  <c r="L143" i="32"/>
  <c r="K144" i="32"/>
  <c r="L144" i="32"/>
  <c r="K145" i="32"/>
  <c r="L145" i="32"/>
  <c r="K146" i="32"/>
  <c r="L146" i="32"/>
  <c r="K147" i="32"/>
  <c r="L147" i="32"/>
  <c r="K148" i="32"/>
  <c r="L148" i="32"/>
  <c r="K149" i="32"/>
  <c r="L149" i="32"/>
  <c r="K150" i="32"/>
  <c r="L150" i="32"/>
  <c r="K151" i="32"/>
  <c r="L151" i="32"/>
  <c r="K152" i="32"/>
  <c r="L152" i="32"/>
  <c r="K153" i="32"/>
  <c r="L153" i="32"/>
  <c r="K154" i="32"/>
  <c r="L154" i="32"/>
  <c r="K155" i="32"/>
  <c r="L155" i="32"/>
  <c r="K156" i="32"/>
  <c r="L156" i="32"/>
  <c r="K157" i="32"/>
  <c r="L157" i="32"/>
  <c r="K158" i="32"/>
  <c r="L158" i="32"/>
  <c r="K159" i="32"/>
  <c r="L159" i="32"/>
  <c r="K160" i="32"/>
  <c r="L160" i="32"/>
  <c r="K161" i="32"/>
  <c r="L161" i="32"/>
  <c r="K162" i="32"/>
  <c r="L162" i="32"/>
  <c r="K163" i="32"/>
  <c r="L163" i="32"/>
  <c r="K164" i="32"/>
  <c r="L164" i="32"/>
  <c r="K165" i="32"/>
  <c r="L165" i="32"/>
  <c r="K166" i="32"/>
  <c r="L166" i="32"/>
  <c r="K167" i="32"/>
  <c r="L167" i="32"/>
  <c r="K168" i="32"/>
  <c r="L168" i="32"/>
  <c r="K169" i="32"/>
  <c r="L169" i="32"/>
  <c r="K170" i="32"/>
  <c r="L170" i="32"/>
  <c r="K48" i="32"/>
  <c r="L48" i="32"/>
  <c r="J48" i="32"/>
  <c r="J49" i="32"/>
  <c r="J50" i="32"/>
  <c r="J51" i="32"/>
  <c r="J52" i="32"/>
  <c r="J53" i="32"/>
  <c r="J54" i="32"/>
  <c r="J55" i="32"/>
  <c r="J56" i="32"/>
  <c r="J57" i="32"/>
  <c r="J58" i="32"/>
  <c r="J59" i="32"/>
  <c r="J60" i="32"/>
  <c r="J61" i="32"/>
  <c r="J62" i="32"/>
  <c r="J63" i="32"/>
  <c r="J64" i="32"/>
  <c r="J65" i="32"/>
  <c r="J66" i="32"/>
  <c r="J67" i="32"/>
  <c r="J68" i="32"/>
  <c r="J69" i="32"/>
  <c r="J70" i="32"/>
  <c r="J71" i="32"/>
  <c r="J72" i="32"/>
  <c r="J73" i="32"/>
  <c r="J74" i="32"/>
  <c r="J75" i="32"/>
  <c r="J76" i="32"/>
  <c r="J77" i="32"/>
  <c r="J78" i="32"/>
  <c r="J79" i="32"/>
  <c r="J80" i="32"/>
  <c r="J81" i="32"/>
  <c r="J82" i="32"/>
  <c r="J83" i="32"/>
  <c r="J84" i="32"/>
  <c r="J85" i="32"/>
  <c r="J86" i="32"/>
  <c r="J87" i="32"/>
  <c r="J88" i="32"/>
  <c r="J89" i="32"/>
  <c r="J90" i="32"/>
  <c r="J91" i="32"/>
  <c r="J92" i="32"/>
  <c r="J93" i="32"/>
  <c r="J94" i="32"/>
  <c r="J95" i="32"/>
  <c r="J96" i="32"/>
  <c r="J97" i="32"/>
  <c r="J98" i="32"/>
  <c r="J99" i="32"/>
  <c r="J100" i="32"/>
  <c r="J101" i="32"/>
  <c r="J102" i="32"/>
  <c r="J103" i="32"/>
  <c r="J104" i="32"/>
  <c r="J105" i="32"/>
  <c r="J106" i="32"/>
  <c r="J107" i="32"/>
  <c r="J108" i="32"/>
  <c r="J109" i="32"/>
  <c r="J110" i="32"/>
  <c r="J111" i="32"/>
  <c r="J112" i="32"/>
  <c r="J113" i="32"/>
  <c r="J114" i="32"/>
  <c r="J115" i="32"/>
  <c r="J116" i="32"/>
  <c r="J117" i="32"/>
  <c r="J118" i="32"/>
  <c r="J119" i="32"/>
  <c r="J120" i="32"/>
  <c r="J121" i="32"/>
  <c r="J122" i="32"/>
  <c r="J123" i="32"/>
  <c r="J124" i="32"/>
  <c r="J125" i="32"/>
  <c r="J126" i="32"/>
  <c r="J127" i="32"/>
  <c r="J128" i="32"/>
  <c r="J129" i="32"/>
  <c r="J130" i="32"/>
  <c r="J131" i="32"/>
  <c r="J132" i="32"/>
  <c r="J133" i="32"/>
  <c r="J134" i="32"/>
  <c r="J135" i="32"/>
  <c r="J136" i="32"/>
  <c r="J137" i="32"/>
  <c r="J138" i="32"/>
  <c r="J139" i="32"/>
  <c r="J140" i="32"/>
  <c r="J141" i="32"/>
  <c r="J142" i="32"/>
  <c r="J143" i="32"/>
  <c r="J144" i="32"/>
  <c r="J145" i="32"/>
  <c r="J146" i="32"/>
  <c r="J147" i="32"/>
  <c r="J148" i="32"/>
  <c r="J149" i="32"/>
  <c r="J150" i="32"/>
  <c r="J151" i="32"/>
  <c r="J152" i="32"/>
  <c r="J153" i="32"/>
  <c r="J154" i="32"/>
  <c r="J155" i="32"/>
  <c r="J156" i="32"/>
  <c r="J157" i="32"/>
  <c r="J158" i="32"/>
  <c r="J159" i="32"/>
  <c r="J160" i="32"/>
  <c r="J161" i="32"/>
  <c r="J162" i="32"/>
  <c r="J163" i="32"/>
  <c r="J164" i="32"/>
  <c r="J165" i="32"/>
  <c r="J166" i="32"/>
  <c r="J167" i="32"/>
  <c r="J168" i="32"/>
  <c r="J169" i="32"/>
  <c r="J170" i="32"/>
  <c r="AF39" i="42" l="1"/>
  <c r="AE39" i="42"/>
  <c r="I40" i="42"/>
  <c r="I41" i="42"/>
  <c r="AG22" i="42" s="1"/>
  <c r="C20" i="39"/>
  <c r="J82" i="33"/>
  <c r="J81" i="33"/>
  <c r="J80" i="33"/>
  <c r="J79" i="33"/>
  <c r="J78" i="33"/>
  <c r="J77" i="33"/>
  <c r="J76" i="33"/>
  <c r="J75" i="33"/>
  <c r="J74" i="33"/>
  <c r="J73" i="33"/>
  <c r="J72" i="33"/>
  <c r="J71" i="33"/>
  <c r="J70" i="33"/>
  <c r="J69" i="33"/>
  <c r="J68" i="33"/>
  <c r="J67" i="33"/>
  <c r="J66" i="33"/>
  <c r="J65" i="33"/>
  <c r="J64" i="33"/>
  <c r="J63" i="33"/>
  <c r="J62" i="33"/>
  <c r="J61" i="33"/>
  <c r="J60" i="33"/>
  <c r="J59" i="33"/>
  <c r="J58" i="33"/>
  <c r="J57" i="33"/>
  <c r="J56" i="33"/>
  <c r="J55" i="33"/>
  <c r="J54" i="33"/>
  <c r="J53" i="33"/>
  <c r="J52" i="33"/>
  <c r="J51" i="33"/>
  <c r="J50" i="33"/>
  <c r="J49" i="33"/>
  <c r="J48" i="33"/>
  <c r="J47" i="33"/>
  <c r="J46" i="33"/>
  <c r="J45" i="33"/>
  <c r="J44" i="33"/>
  <c r="J43" i="33"/>
  <c r="J42" i="33"/>
  <c r="J41" i="33"/>
  <c r="J40" i="33"/>
  <c r="K10" i="33"/>
  <c r="J10" i="33"/>
  <c r="BP32" i="44"/>
  <c r="BO32" i="44"/>
  <c r="BN32" i="44"/>
  <c r="BM32" i="44"/>
  <c r="BL32" i="44"/>
  <c r="BK32" i="44"/>
  <c r="BJ32" i="44"/>
  <c r="BH32" i="44"/>
  <c r="BG32" i="44"/>
  <c r="BF32" i="44"/>
  <c r="BE32" i="44"/>
  <c r="BD32" i="44"/>
  <c r="BC32" i="44"/>
  <c r="AN32" i="44"/>
  <c r="AM32" i="44"/>
  <c r="AL32" i="44"/>
  <c r="AK32" i="44"/>
  <c r="AJ32" i="44"/>
  <c r="AG32" i="44"/>
  <c r="AF32" i="44"/>
  <c r="AE32" i="44"/>
  <c r="AD32" i="44"/>
  <c r="AC32" i="44"/>
  <c r="AB32" i="44"/>
  <c r="AA32" i="44"/>
  <c r="T32" i="44"/>
  <c r="S32" i="44"/>
  <c r="Q32" i="44"/>
  <c r="O32" i="44"/>
  <c r="N32" i="44"/>
  <c r="L32" i="44"/>
  <c r="G32" i="44"/>
  <c r="BP31" i="44"/>
  <c r="BO31" i="44"/>
  <c r="BN31" i="44"/>
  <c r="BM31" i="44"/>
  <c r="BL31" i="44"/>
  <c r="BK31" i="44"/>
  <c r="BJ31" i="44"/>
  <c r="BH31" i="44"/>
  <c r="BG31" i="44"/>
  <c r="BF31" i="44"/>
  <c r="BE31" i="44"/>
  <c r="BD31" i="44"/>
  <c r="BC31" i="44"/>
  <c r="AN31" i="44"/>
  <c r="AM31" i="44"/>
  <c r="AL31" i="44"/>
  <c r="AK31" i="44"/>
  <c r="AJ31" i="44"/>
  <c r="AG31" i="44"/>
  <c r="AF31" i="44"/>
  <c r="AE31" i="44"/>
  <c r="AD31" i="44"/>
  <c r="AC31" i="44"/>
  <c r="AB31" i="44"/>
  <c r="AA31" i="44"/>
  <c r="T31" i="44"/>
  <c r="S31" i="44"/>
  <c r="Q31" i="44"/>
  <c r="O31" i="44"/>
  <c r="N31" i="44"/>
  <c r="L31" i="44"/>
  <c r="G31" i="44"/>
  <c r="BP30" i="44"/>
  <c r="BO30" i="44"/>
  <c r="BN30" i="44"/>
  <c r="BM30" i="44"/>
  <c r="BL30" i="44"/>
  <c r="BK30" i="44"/>
  <c r="BJ30" i="44"/>
  <c r="BH30" i="44"/>
  <c r="BG30" i="44"/>
  <c r="BF30" i="44"/>
  <c r="BE30" i="44"/>
  <c r="BD30" i="44"/>
  <c r="BC30" i="44"/>
  <c r="AN30" i="44"/>
  <c r="AM30" i="44"/>
  <c r="AL30" i="44"/>
  <c r="AK30" i="44"/>
  <c r="AJ30" i="44"/>
  <c r="AG30" i="44"/>
  <c r="AF30" i="44"/>
  <c r="AE30" i="44"/>
  <c r="AD30" i="44"/>
  <c r="AC30" i="44"/>
  <c r="AB30" i="44"/>
  <c r="AA30" i="44"/>
  <c r="T30" i="44"/>
  <c r="S30" i="44"/>
  <c r="Q30" i="44"/>
  <c r="O30" i="44"/>
  <c r="N30" i="44"/>
  <c r="L30" i="44"/>
  <c r="G30" i="44"/>
  <c r="BP29" i="44"/>
  <c r="BO29" i="44"/>
  <c r="BN29" i="44"/>
  <c r="BM29" i="44"/>
  <c r="BL29" i="44"/>
  <c r="BK29" i="44"/>
  <c r="BJ29" i="44"/>
  <c r="BH29" i="44"/>
  <c r="BG29" i="44"/>
  <c r="BF29" i="44"/>
  <c r="BE29" i="44"/>
  <c r="BD29" i="44"/>
  <c r="BC29" i="44"/>
  <c r="AN29" i="44"/>
  <c r="AM29" i="44"/>
  <c r="AL29" i="44"/>
  <c r="AK29" i="44"/>
  <c r="AJ29" i="44"/>
  <c r="AG29" i="44"/>
  <c r="AF29" i="44"/>
  <c r="AE29" i="44"/>
  <c r="AD29" i="44"/>
  <c r="AC29" i="44"/>
  <c r="AB29" i="44"/>
  <c r="AA29" i="44"/>
  <c r="T29" i="44"/>
  <c r="S29" i="44"/>
  <c r="Q29" i="44"/>
  <c r="O29" i="44"/>
  <c r="N29" i="44"/>
  <c r="L29" i="44"/>
  <c r="G29" i="44"/>
  <c r="BP28" i="44"/>
  <c r="BO28" i="44"/>
  <c r="BN28" i="44"/>
  <c r="BM28" i="44"/>
  <c r="BL28" i="44"/>
  <c r="BK28" i="44"/>
  <c r="BJ28" i="44"/>
  <c r="BH28" i="44"/>
  <c r="BG28" i="44"/>
  <c r="BF28" i="44"/>
  <c r="BE28" i="44"/>
  <c r="BD28" i="44"/>
  <c r="BC28" i="44"/>
  <c r="AN28" i="44"/>
  <c r="AM28" i="44"/>
  <c r="AL28" i="44"/>
  <c r="AK28" i="44"/>
  <c r="AJ28" i="44"/>
  <c r="AG28" i="44"/>
  <c r="AF28" i="44"/>
  <c r="AE28" i="44"/>
  <c r="AD28" i="44"/>
  <c r="AC28" i="44"/>
  <c r="AB28" i="44"/>
  <c r="AA28" i="44"/>
  <c r="T28" i="44"/>
  <c r="S28" i="44"/>
  <c r="Q28" i="44"/>
  <c r="O28" i="44"/>
  <c r="N28" i="44"/>
  <c r="L28" i="44"/>
  <c r="G28" i="44"/>
  <c r="BP27" i="44"/>
  <c r="BO27" i="44"/>
  <c r="BN27" i="44"/>
  <c r="BM27" i="44"/>
  <c r="BL27" i="44"/>
  <c r="BK27" i="44"/>
  <c r="BJ27" i="44"/>
  <c r="BH27" i="44"/>
  <c r="BG27" i="44"/>
  <c r="BF27" i="44"/>
  <c r="BE27" i="44"/>
  <c r="BD27" i="44"/>
  <c r="BC27" i="44"/>
  <c r="AN27" i="44"/>
  <c r="AM27" i="44"/>
  <c r="AL27" i="44"/>
  <c r="AK27" i="44"/>
  <c r="AJ27" i="44"/>
  <c r="AG27" i="44"/>
  <c r="AF27" i="44"/>
  <c r="AE27" i="44"/>
  <c r="AD27" i="44"/>
  <c r="AC27" i="44"/>
  <c r="AB27" i="44"/>
  <c r="AA27" i="44"/>
  <c r="T27" i="44"/>
  <c r="S27" i="44"/>
  <c r="Q27" i="44"/>
  <c r="O27" i="44"/>
  <c r="N27" i="44"/>
  <c r="L27" i="44"/>
  <c r="G27" i="44"/>
  <c r="BP26" i="44"/>
  <c r="BO26" i="44"/>
  <c r="BN26" i="44"/>
  <c r="BM26" i="44"/>
  <c r="BL26" i="44"/>
  <c r="BK26" i="44"/>
  <c r="BJ26" i="44"/>
  <c r="BH26" i="44"/>
  <c r="BG26" i="44"/>
  <c r="BF26" i="44"/>
  <c r="BE26" i="44"/>
  <c r="BD26" i="44"/>
  <c r="BC26" i="44"/>
  <c r="AN26" i="44"/>
  <c r="AM26" i="44"/>
  <c r="AL26" i="44"/>
  <c r="AK26" i="44"/>
  <c r="AJ26" i="44"/>
  <c r="AG26" i="44"/>
  <c r="AF26" i="44"/>
  <c r="AE26" i="44"/>
  <c r="AD26" i="44"/>
  <c r="AC26" i="44"/>
  <c r="AB26" i="44"/>
  <c r="AA26" i="44"/>
  <c r="T26" i="44"/>
  <c r="S26" i="44"/>
  <c r="Q26" i="44"/>
  <c r="O26" i="44"/>
  <c r="N26" i="44"/>
  <c r="L26" i="44"/>
  <c r="G26" i="44"/>
  <c r="BP25" i="44"/>
  <c r="BO25" i="44"/>
  <c r="BN25" i="44"/>
  <c r="BM25" i="44"/>
  <c r="BL25" i="44"/>
  <c r="BK25" i="44"/>
  <c r="BJ25" i="44"/>
  <c r="BH25" i="44"/>
  <c r="BG25" i="44"/>
  <c r="BF25" i="44"/>
  <c r="BE25" i="44"/>
  <c r="BD25" i="44"/>
  <c r="BC25" i="44"/>
  <c r="AN25" i="44"/>
  <c r="AM25" i="44"/>
  <c r="AL25" i="44"/>
  <c r="AK25" i="44"/>
  <c r="AJ25" i="44"/>
  <c r="AG25" i="44"/>
  <c r="AF25" i="44"/>
  <c r="AE25" i="44"/>
  <c r="AD25" i="44"/>
  <c r="AC25" i="44"/>
  <c r="AB25" i="44"/>
  <c r="AA25" i="44"/>
  <c r="T25" i="44"/>
  <c r="S25" i="44"/>
  <c r="Q25" i="44"/>
  <c r="O25" i="44"/>
  <c r="N25" i="44"/>
  <c r="L25" i="44"/>
  <c r="G25" i="44"/>
  <c r="BP24" i="44"/>
  <c r="BO24" i="44"/>
  <c r="BN24" i="44"/>
  <c r="BM24" i="44"/>
  <c r="BL24" i="44"/>
  <c r="BK24" i="44"/>
  <c r="BJ24" i="44"/>
  <c r="BH24" i="44"/>
  <c r="BG24" i="44"/>
  <c r="BF24" i="44"/>
  <c r="BE24" i="44"/>
  <c r="BD24" i="44"/>
  <c r="BC24" i="44"/>
  <c r="AN24" i="44"/>
  <c r="AM24" i="44"/>
  <c r="AL24" i="44"/>
  <c r="AK24" i="44"/>
  <c r="AJ24" i="44"/>
  <c r="AG24" i="44"/>
  <c r="AF24" i="44"/>
  <c r="AE24" i="44"/>
  <c r="AD24" i="44"/>
  <c r="AC24" i="44"/>
  <c r="AB24" i="44"/>
  <c r="AA24" i="44"/>
  <c r="T24" i="44"/>
  <c r="S24" i="44"/>
  <c r="Q24" i="44"/>
  <c r="O24" i="44"/>
  <c r="N24" i="44"/>
  <c r="L24" i="44"/>
  <c r="G24" i="44"/>
  <c r="BP23" i="44"/>
  <c r="BO23" i="44"/>
  <c r="BN23" i="44"/>
  <c r="BM23" i="44"/>
  <c r="BL23" i="44"/>
  <c r="BK23" i="44"/>
  <c r="BJ23" i="44"/>
  <c r="BH23" i="44"/>
  <c r="BG23" i="44"/>
  <c r="BF23" i="44"/>
  <c r="BE23" i="44"/>
  <c r="BD23" i="44"/>
  <c r="BC23" i="44"/>
  <c r="AN23" i="44"/>
  <c r="AM23" i="44"/>
  <c r="AL23" i="44"/>
  <c r="AK23" i="44"/>
  <c r="AJ23" i="44"/>
  <c r="AF23" i="44"/>
  <c r="AE23" i="44"/>
  <c r="AD23" i="44"/>
  <c r="AC23" i="44"/>
  <c r="AB23" i="44"/>
  <c r="AA23" i="44"/>
  <c r="T23" i="44"/>
  <c r="S23" i="44"/>
  <c r="Q23" i="44"/>
  <c r="O23" i="44"/>
  <c r="N23" i="44"/>
  <c r="L23" i="44"/>
  <c r="G23" i="44"/>
  <c r="BP22" i="44"/>
  <c r="BO22" i="44"/>
  <c r="BN22" i="44"/>
  <c r="BM22" i="44"/>
  <c r="BL22" i="44"/>
  <c r="BK22" i="44"/>
  <c r="BJ22" i="44"/>
  <c r="BH22" i="44"/>
  <c r="BG22" i="44"/>
  <c r="BF22" i="44"/>
  <c r="BE22" i="44"/>
  <c r="BD22" i="44"/>
  <c r="BC22" i="44"/>
  <c r="AN22" i="44"/>
  <c r="AM22" i="44"/>
  <c r="AL22" i="44"/>
  <c r="AF22" i="44"/>
  <c r="AE22" i="44"/>
  <c r="AD22" i="44"/>
  <c r="AC22" i="44"/>
  <c r="AB22" i="44"/>
  <c r="AA22" i="44"/>
  <c r="T22" i="44"/>
  <c r="S22" i="44"/>
  <c r="Q22" i="44"/>
  <c r="O22" i="44"/>
  <c r="N22" i="44"/>
  <c r="L22" i="44"/>
  <c r="G22" i="44"/>
  <c r="BP21" i="44"/>
  <c r="BO21" i="44"/>
  <c r="BN21" i="44"/>
  <c r="BM21" i="44"/>
  <c r="BL21" i="44"/>
  <c r="BK21" i="44"/>
  <c r="BJ21" i="44"/>
  <c r="BH21" i="44"/>
  <c r="BG21" i="44"/>
  <c r="BF21" i="44"/>
  <c r="BE21" i="44"/>
  <c r="BD21" i="44"/>
  <c r="BC21" i="44"/>
  <c r="AN21" i="44"/>
  <c r="AM21" i="44"/>
  <c r="AF21" i="44"/>
  <c r="AE21" i="44"/>
  <c r="AD21" i="44"/>
  <c r="AC21" i="44"/>
  <c r="AB21" i="44"/>
  <c r="AA21" i="44"/>
  <c r="T21" i="44"/>
  <c r="S21" i="44"/>
  <c r="Q21" i="44"/>
  <c r="O21" i="44"/>
  <c r="N21" i="44"/>
  <c r="L21" i="44"/>
  <c r="G21" i="44"/>
  <c r="BP20" i="44"/>
  <c r="BO20" i="44"/>
  <c r="BN20" i="44"/>
  <c r="BM20" i="44"/>
  <c r="BL20" i="44"/>
  <c r="BK20" i="44"/>
  <c r="BJ20" i="44"/>
  <c r="BH20" i="44"/>
  <c r="BG20" i="44"/>
  <c r="BF20" i="44"/>
  <c r="BE20" i="44"/>
  <c r="BD20" i="44"/>
  <c r="BC20" i="44"/>
  <c r="AM20" i="44"/>
  <c r="AF20" i="44"/>
  <c r="AE20" i="44"/>
  <c r="AD20" i="44"/>
  <c r="AC20" i="44"/>
  <c r="AB20" i="44"/>
  <c r="AA20" i="44"/>
  <c r="T20" i="44"/>
  <c r="S20" i="44"/>
  <c r="Q20" i="44"/>
  <c r="O20" i="44"/>
  <c r="N20" i="44"/>
  <c r="L20" i="44"/>
  <c r="G20" i="44"/>
  <c r="BP19" i="44"/>
  <c r="BO19" i="44"/>
  <c r="BN19" i="44"/>
  <c r="BM19" i="44"/>
  <c r="BL19" i="44"/>
  <c r="BK19" i="44"/>
  <c r="BJ19" i="44"/>
  <c r="BH19" i="44"/>
  <c r="BG19" i="44"/>
  <c r="BF19" i="44"/>
  <c r="BE19" i="44"/>
  <c r="BD19" i="44"/>
  <c r="BC19" i="44"/>
  <c r="AG19" i="44"/>
  <c r="AF19" i="44"/>
  <c r="AE19" i="44"/>
  <c r="AD19" i="44"/>
  <c r="AC19" i="44"/>
  <c r="AB19" i="44"/>
  <c r="AA19" i="44"/>
  <c r="T19" i="44"/>
  <c r="S19" i="44"/>
  <c r="Q19" i="44"/>
  <c r="O19" i="44"/>
  <c r="N19" i="44"/>
  <c r="L19" i="44"/>
  <c r="G19" i="44"/>
  <c r="BP18" i="44"/>
  <c r="BO18" i="44"/>
  <c r="BN18" i="44"/>
  <c r="BM18" i="44"/>
  <c r="BL18" i="44"/>
  <c r="BK18" i="44"/>
  <c r="BJ18" i="44"/>
  <c r="BH18" i="44"/>
  <c r="BG18" i="44"/>
  <c r="BF18" i="44"/>
  <c r="BE18" i="44"/>
  <c r="BD18" i="44"/>
  <c r="BC18" i="44"/>
  <c r="AK18" i="44"/>
  <c r="AJ18" i="44"/>
  <c r="AF18" i="44"/>
  <c r="AE18" i="44"/>
  <c r="AD18" i="44"/>
  <c r="AC18" i="44"/>
  <c r="AB18" i="44"/>
  <c r="AA18" i="44"/>
  <c r="T18" i="44"/>
  <c r="S18" i="44"/>
  <c r="Q18" i="44"/>
  <c r="O18" i="44"/>
  <c r="N18" i="44"/>
  <c r="L18" i="44"/>
  <c r="G18" i="44"/>
  <c r="BP17" i="44"/>
  <c r="BO17" i="44"/>
  <c r="BN17" i="44"/>
  <c r="BM17" i="44"/>
  <c r="BL17" i="44"/>
  <c r="BK17" i="44"/>
  <c r="BJ17" i="44"/>
  <c r="BH17" i="44"/>
  <c r="BG17" i="44"/>
  <c r="BF17" i="44"/>
  <c r="BE17" i="44"/>
  <c r="BD17" i="44"/>
  <c r="BC17" i="44"/>
  <c r="AL17" i="44"/>
  <c r="AF17" i="44"/>
  <c r="AE17" i="44"/>
  <c r="AC17" i="44"/>
  <c r="AB17" i="44"/>
  <c r="T17" i="44"/>
  <c r="S17" i="44"/>
  <c r="Q17" i="44"/>
  <c r="O17" i="44"/>
  <c r="N17" i="44"/>
  <c r="L17" i="44"/>
  <c r="G17" i="44"/>
  <c r="BP16" i="44"/>
  <c r="BO16" i="44"/>
  <c r="BN16" i="44"/>
  <c r="BM16" i="44"/>
  <c r="BL16" i="44"/>
  <c r="BK16" i="44"/>
  <c r="BJ16" i="44"/>
  <c r="BH16" i="44"/>
  <c r="BG16" i="44"/>
  <c r="BF16" i="44"/>
  <c r="BE16" i="44"/>
  <c r="BD16" i="44"/>
  <c r="BC16" i="44"/>
  <c r="AN16" i="44"/>
  <c r="AG16" i="44"/>
  <c r="AE16" i="44"/>
  <c r="AB16" i="44"/>
  <c r="T16" i="44"/>
  <c r="S16" i="44"/>
  <c r="Q16" i="44"/>
  <c r="O16" i="44"/>
  <c r="N16" i="44"/>
  <c r="L16" i="44"/>
  <c r="G16" i="44"/>
  <c r="BP15" i="44"/>
  <c r="BO15" i="44"/>
  <c r="BN15" i="44"/>
  <c r="BM15" i="44"/>
  <c r="BL15" i="44"/>
  <c r="BK15" i="44"/>
  <c r="BJ15" i="44"/>
  <c r="BH15" i="44"/>
  <c r="BG15" i="44"/>
  <c r="BF15" i="44"/>
  <c r="BE15" i="44"/>
  <c r="BD15" i="44"/>
  <c r="BC15" i="44"/>
  <c r="AM15" i="44"/>
  <c r="AK15" i="44"/>
  <c r="AJ15" i="44"/>
  <c r="T15" i="44"/>
  <c r="S15" i="44"/>
  <c r="Q15" i="44"/>
  <c r="O15" i="44"/>
  <c r="N15" i="44"/>
  <c r="L15" i="44"/>
  <c r="G15" i="44"/>
  <c r="BP14" i="44"/>
  <c r="BO14" i="44"/>
  <c r="BN14" i="44"/>
  <c r="BM14" i="44"/>
  <c r="BL14" i="44"/>
  <c r="BK14" i="44"/>
  <c r="BJ14" i="44"/>
  <c r="BH14" i="44"/>
  <c r="BG14" i="44"/>
  <c r="BF14" i="44"/>
  <c r="BE14" i="44"/>
  <c r="BD14" i="44"/>
  <c r="BC14" i="44"/>
  <c r="AL14" i="44"/>
  <c r="T14" i="44"/>
  <c r="S14" i="44"/>
  <c r="Q14" i="44"/>
  <c r="O14" i="44"/>
  <c r="N14" i="44"/>
  <c r="L14" i="44"/>
  <c r="G14" i="44"/>
  <c r="BP13" i="44"/>
  <c r="BO13" i="44"/>
  <c r="BN13" i="44"/>
  <c r="BM13" i="44"/>
  <c r="BL13" i="44"/>
  <c r="BK13" i="44"/>
  <c r="BJ13" i="44"/>
  <c r="BH13" i="44"/>
  <c r="BG13" i="44"/>
  <c r="BF13" i="44"/>
  <c r="BE13" i="44"/>
  <c r="BD13" i="44"/>
  <c r="BC13" i="44"/>
  <c r="AN13" i="44"/>
  <c r="AG13" i="44"/>
  <c r="AD13" i="44"/>
  <c r="AA13" i="44"/>
  <c r="T13" i="44"/>
  <c r="S13" i="44"/>
  <c r="Q13" i="44"/>
  <c r="O13" i="44"/>
  <c r="N13" i="44"/>
  <c r="L13" i="44"/>
  <c r="G13" i="44"/>
  <c r="BP12" i="44"/>
  <c r="BO12" i="44"/>
  <c r="BN12" i="44"/>
  <c r="BM12" i="44"/>
  <c r="BL12" i="44"/>
  <c r="BK12" i="44"/>
  <c r="BJ12" i="44"/>
  <c r="BH12" i="44"/>
  <c r="BG12" i="44"/>
  <c r="BF12" i="44"/>
  <c r="BE12" i="44"/>
  <c r="BD12" i="44"/>
  <c r="BC12" i="44"/>
  <c r="AM12" i="44"/>
  <c r="AK12" i="44"/>
  <c r="AJ12" i="44"/>
  <c r="AF12" i="44"/>
  <c r="AD12" i="44"/>
  <c r="AC12" i="44"/>
  <c r="AA12" i="44"/>
  <c r="T12" i="44"/>
  <c r="S12" i="44"/>
  <c r="Q12" i="44"/>
  <c r="O12" i="44"/>
  <c r="N12" i="44"/>
  <c r="L12" i="44"/>
  <c r="BP11" i="44"/>
  <c r="BO11" i="44"/>
  <c r="BN11" i="44"/>
  <c r="BM11" i="44"/>
  <c r="BL11" i="44"/>
  <c r="BK11" i="44"/>
  <c r="BJ11" i="44"/>
  <c r="BH11" i="44"/>
  <c r="BG11" i="44"/>
  <c r="BF11" i="44"/>
  <c r="BE11" i="44"/>
  <c r="BD11" i="44"/>
  <c r="BC11" i="44"/>
  <c r="AL11" i="44"/>
  <c r="AF11" i="44"/>
  <c r="AE11" i="44"/>
  <c r="AD11" i="44"/>
  <c r="AC11" i="44"/>
  <c r="AB11" i="44"/>
  <c r="AA11" i="44"/>
  <c r="T11" i="44"/>
  <c r="S11" i="44"/>
  <c r="Q11" i="44"/>
  <c r="O11" i="44"/>
  <c r="N11" i="44"/>
  <c r="L11" i="44"/>
  <c r="G11" i="44"/>
  <c r="BP10" i="44"/>
  <c r="BO10" i="44"/>
  <c r="BN10" i="44"/>
  <c r="BM10" i="44"/>
  <c r="BL10" i="44"/>
  <c r="BK10" i="44"/>
  <c r="BJ10" i="44"/>
  <c r="BH10" i="44"/>
  <c r="BG10" i="44"/>
  <c r="BF10" i="44"/>
  <c r="BE10" i="44"/>
  <c r="BD10" i="44"/>
  <c r="BC10" i="44"/>
  <c r="AN10" i="44"/>
  <c r="AF10" i="44"/>
  <c r="AE10" i="44"/>
  <c r="AD10" i="44"/>
  <c r="AC10" i="44"/>
  <c r="AB10" i="44"/>
  <c r="AA10" i="44"/>
  <c r="T10" i="44"/>
  <c r="S10" i="44"/>
  <c r="Q10" i="44"/>
  <c r="O10" i="44"/>
  <c r="N10" i="44"/>
  <c r="L10" i="44"/>
  <c r="G10" i="44"/>
  <c r="BP9" i="44"/>
  <c r="BO9" i="44"/>
  <c r="BN9" i="44"/>
  <c r="BM9" i="44"/>
  <c r="BL9" i="44"/>
  <c r="BK9" i="44"/>
  <c r="BJ9" i="44"/>
  <c r="BH9" i="44"/>
  <c r="BG9" i="44"/>
  <c r="BF9" i="44"/>
  <c r="BE9" i="44"/>
  <c r="BD9" i="44"/>
  <c r="BC9" i="44"/>
  <c r="AM9" i="44"/>
  <c r="AF9" i="44"/>
  <c r="AE9" i="44"/>
  <c r="AD9" i="44"/>
  <c r="AC9" i="44"/>
  <c r="AB9" i="44"/>
  <c r="AA9" i="44"/>
  <c r="T9" i="44"/>
  <c r="S9" i="44"/>
  <c r="Q9" i="44"/>
  <c r="O9" i="44"/>
  <c r="N9" i="44"/>
  <c r="L9" i="44"/>
  <c r="G9" i="44"/>
  <c r="BP8" i="44"/>
  <c r="BO8" i="44"/>
  <c r="BN8" i="44"/>
  <c r="BM8" i="44"/>
  <c r="BL8" i="44"/>
  <c r="BK8" i="44"/>
  <c r="BJ8" i="44"/>
  <c r="BH8" i="44"/>
  <c r="BG8" i="44"/>
  <c r="BF8" i="44"/>
  <c r="BE8" i="44"/>
  <c r="BD8" i="44"/>
  <c r="BC8" i="44"/>
  <c r="AG8" i="44"/>
  <c r="AF8" i="44"/>
  <c r="AE8" i="44"/>
  <c r="AD8" i="44"/>
  <c r="AC8" i="44"/>
  <c r="AB8" i="44"/>
  <c r="AA8" i="44"/>
  <c r="T8" i="44"/>
  <c r="S8" i="44"/>
  <c r="Q8" i="44"/>
  <c r="O8" i="44"/>
  <c r="N8" i="44"/>
  <c r="L8" i="44"/>
  <c r="G8" i="44"/>
  <c r="BP7" i="44"/>
  <c r="BO7" i="44"/>
  <c r="BN7" i="44"/>
  <c r="BM7" i="44"/>
  <c r="BL7" i="44"/>
  <c r="BK7" i="44"/>
  <c r="BJ7" i="44"/>
  <c r="BH7" i="44"/>
  <c r="BG7" i="44"/>
  <c r="BF7" i="44"/>
  <c r="BE7" i="44"/>
  <c r="BD7" i="44"/>
  <c r="BC7" i="44"/>
  <c r="AK7" i="44"/>
  <c r="AJ7" i="44"/>
  <c r="AF7" i="44"/>
  <c r="AE7" i="44"/>
  <c r="AD7" i="44"/>
  <c r="AC7" i="44"/>
  <c r="AB7" i="44"/>
  <c r="AA7" i="44"/>
  <c r="T7" i="44"/>
  <c r="S7" i="44"/>
  <c r="Q7" i="44"/>
  <c r="O7" i="44"/>
  <c r="N7" i="44"/>
  <c r="L7" i="44"/>
  <c r="G7" i="44"/>
  <c r="BP6" i="44"/>
  <c r="BO6" i="44"/>
  <c r="BN6" i="44"/>
  <c r="BM6" i="44"/>
  <c r="BL6" i="44"/>
  <c r="BK6" i="44"/>
  <c r="BJ6" i="44"/>
  <c r="BH6" i="44"/>
  <c r="BG6" i="44"/>
  <c r="BF6" i="44"/>
  <c r="BE6" i="44"/>
  <c r="BD6" i="44"/>
  <c r="BC6" i="44"/>
  <c r="AL6" i="44"/>
  <c r="AF6" i="44"/>
  <c r="AE6" i="44"/>
  <c r="AC6" i="44"/>
  <c r="AB6" i="44"/>
  <c r="S6" i="44"/>
  <c r="Q6" i="44"/>
  <c r="N6" i="44"/>
  <c r="L6" i="44"/>
  <c r="G6" i="44"/>
  <c r="BP5" i="44"/>
  <c r="BO5" i="44"/>
  <c r="BN5" i="44"/>
  <c r="BM5" i="44"/>
  <c r="BL5" i="44"/>
  <c r="BK5" i="44"/>
  <c r="BJ5" i="44"/>
  <c r="BH5" i="44"/>
  <c r="BG5" i="44"/>
  <c r="BF5" i="44"/>
  <c r="BE5" i="44"/>
  <c r="BD5" i="44"/>
  <c r="BC5" i="44"/>
  <c r="AN5" i="44"/>
  <c r="AG5" i="44"/>
  <c r="AE5" i="44"/>
  <c r="AB5" i="44"/>
  <c r="S5" i="44"/>
  <c r="Q5" i="44"/>
  <c r="O5" i="44"/>
  <c r="N5" i="44"/>
  <c r="L5" i="44"/>
  <c r="G5" i="44"/>
  <c r="BP4" i="44"/>
  <c r="BO4" i="44"/>
  <c r="BN4" i="44"/>
  <c r="BM4" i="44"/>
  <c r="BL4" i="44"/>
  <c r="BK4" i="44"/>
  <c r="BJ4" i="44"/>
  <c r="BH4" i="44"/>
  <c r="BG4" i="44"/>
  <c r="BF4" i="44"/>
  <c r="BE4" i="44"/>
  <c r="BD4" i="44"/>
  <c r="BC4" i="44"/>
  <c r="AM4" i="44"/>
  <c r="AK4" i="44"/>
  <c r="AJ4" i="44"/>
  <c r="S4" i="44"/>
  <c r="O4" i="44"/>
  <c r="N4" i="44"/>
  <c r="L4" i="44"/>
  <c r="G4" i="44"/>
  <c r="BP3" i="44"/>
  <c r="BO3" i="44"/>
  <c r="BN3" i="44"/>
  <c r="BM3" i="44"/>
  <c r="BL3" i="44"/>
  <c r="BK3" i="44"/>
  <c r="BJ3" i="44"/>
  <c r="BH3" i="44"/>
  <c r="BG3" i="44"/>
  <c r="BF3" i="44"/>
  <c r="BE3" i="44"/>
  <c r="BD3" i="44"/>
  <c r="BC3" i="44"/>
  <c r="Q3" i="44"/>
  <c r="O3" i="44"/>
  <c r="L3" i="44"/>
  <c r="G3" i="44"/>
  <c r="D3" i="44"/>
  <c r="AL21" i="44"/>
  <c r="C11" i="22"/>
  <c r="C10" i="22"/>
  <c r="C45" i="38"/>
  <c r="C44" i="38"/>
  <c r="C43" i="38"/>
  <c r="C40" i="38"/>
  <c r="C39" i="38"/>
  <c r="C38" i="38"/>
  <c r="C37" i="38"/>
  <c r="C36" i="38"/>
  <c r="C35" i="38"/>
  <c r="C34" i="38"/>
  <c r="C27" i="38"/>
  <c r="C12" i="22" l="1"/>
  <c r="AE41" i="42"/>
  <c r="AF41" i="42"/>
  <c r="AE40" i="42"/>
  <c r="AF40" i="42"/>
  <c r="C46" i="38"/>
  <c r="R7" i="44"/>
  <c r="C39" i="22"/>
  <c r="C31" i="22" s="1"/>
  <c r="AM19" i="44"/>
  <c r="AG23" i="44"/>
  <c r="AN9" i="44"/>
  <c r="AN20" i="44"/>
  <c r="AJ22" i="44"/>
  <c r="AK22" i="44"/>
  <c r="Q4" i="44"/>
  <c r="G12" i="44"/>
  <c r="O6" i="44"/>
  <c r="N3" i="44"/>
  <c r="AK16" i="44"/>
  <c r="AN15" i="44"/>
  <c r="D12" i="33" l="1"/>
  <c r="AF42" i="42"/>
  <c r="AE42" i="42"/>
  <c r="C12" i="33"/>
  <c r="C40" i="22"/>
  <c r="C32" i="22" s="1"/>
  <c r="D21" i="33"/>
  <c r="AG17" i="44"/>
  <c r="AJ11" i="44"/>
  <c r="AM8" i="44"/>
  <c r="AG12" i="44"/>
  <c r="AL10" i="44"/>
  <c r="AG18" i="44"/>
  <c r="AK11" i="44"/>
  <c r="AK17" i="44"/>
  <c r="AL15" i="44"/>
  <c r="AJ6" i="44"/>
  <c r="AM13" i="44"/>
  <c r="AL16" i="44"/>
  <c r="AG6" i="44"/>
  <c r="AJ16" i="44"/>
  <c r="AJ17" i="44"/>
  <c r="AM14" i="44"/>
  <c r="AN14" i="44"/>
  <c r="AG42" i="42" l="1"/>
  <c r="E12" i="33"/>
  <c r="C19" i="33" s="1"/>
  <c r="D39" i="22"/>
  <c r="D31" i="22" s="1"/>
  <c r="E21" i="33"/>
  <c r="C38" i="22"/>
  <c r="C30" i="22" s="1"/>
  <c r="AJ8" i="44" s="1"/>
  <c r="AL19" i="44"/>
  <c r="AK20" i="44"/>
  <c r="AN18" i="44"/>
  <c r="AM17" i="44"/>
  <c r="AK9" i="44"/>
  <c r="AJ20" i="44"/>
  <c r="AG21" i="44"/>
  <c r="C36" i="22"/>
  <c r="C28" i="22" s="1"/>
  <c r="D24" i="33"/>
  <c r="D22" i="33"/>
  <c r="D23" i="33"/>
  <c r="C35" i="22"/>
  <c r="C27" i="22" s="1"/>
  <c r="AG7" i="44"/>
  <c r="AN3" i="44"/>
  <c r="AJ5" i="44"/>
  <c r="AL4" i="44"/>
  <c r="AK5" i="44"/>
  <c r="AK6" i="44"/>
  <c r="AM3" i="44"/>
  <c r="AN4" i="44"/>
  <c r="AL5" i="44"/>
  <c r="AG20" i="44" l="1"/>
  <c r="AN17" i="44"/>
  <c r="AL18" i="44"/>
  <c r="AK19" i="44"/>
  <c r="AM16" i="44"/>
  <c r="D40" i="22"/>
  <c r="D32" i="22" s="1"/>
  <c r="AD5" i="44" s="1"/>
  <c r="E22" i="33"/>
  <c r="D38" i="22"/>
  <c r="D30" i="22" s="1"/>
  <c r="AJ19" i="44"/>
  <c r="AG10" i="44"/>
  <c r="AL8" i="44"/>
  <c r="AJ9" i="44"/>
  <c r="AN7" i="44"/>
  <c r="AM6" i="44"/>
  <c r="E24" i="33"/>
  <c r="AC5" i="44" s="1"/>
  <c r="AM5" i="44"/>
  <c r="AL7" i="44"/>
  <c r="AG9" i="44"/>
  <c r="AN6" i="44"/>
  <c r="AK8" i="44"/>
  <c r="AL20" i="44"/>
  <c r="AG22" i="44"/>
  <c r="AJ21" i="44"/>
  <c r="AK21" i="44"/>
  <c r="AM18" i="44"/>
  <c r="AN19" i="44"/>
  <c r="AB15" i="44"/>
  <c r="AD6" i="44"/>
  <c r="AN11" i="44"/>
  <c r="AG14" i="44"/>
  <c r="AJ13" i="44"/>
  <c r="AM10" i="44"/>
  <c r="AL12" i="44"/>
  <c r="AK13" i="44"/>
  <c r="AG3" i="44"/>
  <c r="AM11" i="44"/>
  <c r="AN12" i="44"/>
  <c r="AK14" i="44"/>
  <c r="AJ14" i="44"/>
  <c r="AG15" i="44"/>
  <c r="AL13" i="44"/>
  <c r="E39" i="22"/>
  <c r="E31" i="22" s="1"/>
  <c r="E23" i="33"/>
  <c r="AC16" i="44"/>
  <c r="AA17" i="44"/>
  <c r="T3" i="44" l="1"/>
  <c r="AF13" i="44"/>
  <c r="AD16" i="44"/>
  <c r="AE14" i="44"/>
  <c r="E40" i="22"/>
  <c r="E32" i="22" s="1"/>
  <c r="AA5" i="44" s="1"/>
  <c r="E38" i="22"/>
  <c r="AF15" i="44"/>
  <c r="AB4" i="44"/>
  <c r="AA6" i="44"/>
  <c r="C23" i="22"/>
  <c r="T6" i="44" s="1"/>
  <c r="T4" i="44"/>
  <c r="T5" i="44"/>
  <c r="AG11" i="44"/>
  <c r="AM7" i="44"/>
  <c r="AL9" i="44"/>
  <c r="AK10" i="44"/>
  <c r="AJ10" i="44"/>
  <c r="AN8" i="44"/>
  <c r="AE15" i="44"/>
  <c r="AF16" i="44"/>
  <c r="AE4" i="44"/>
  <c r="AF4" i="44"/>
  <c r="AE3" i="44"/>
  <c r="AD17" i="44"/>
  <c r="AF5" i="44"/>
  <c r="AE12" i="44"/>
  <c r="AD14" i="44"/>
  <c r="AD3" i="44"/>
  <c r="AK3" i="44"/>
  <c r="AG4" i="44"/>
  <c r="AA15" i="44"/>
  <c r="AB13" i="44"/>
  <c r="AC14" i="44"/>
  <c r="AD15" i="44"/>
  <c r="AF14" i="44"/>
  <c r="AE13" i="44"/>
  <c r="AA16" i="44" l="1"/>
  <c r="AC15" i="44"/>
  <c r="E30" i="22"/>
  <c r="AA3" i="44" s="1"/>
  <c r="AC13" i="44"/>
  <c r="AB12" i="44"/>
  <c r="AA14" i="44"/>
  <c r="AB14" i="44"/>
  <c r="AC4" i="44"/>
  <c r="AB3" i="44"/>
  <c r="AC3" i="44"/>
  <c r="AA4" i="44"/>
  <c r="AD4" i="44"/>
  <c r="AF3" i="44"/>
</calcChain>
</file>

<file path=xl/sharedStrings.xml><?xml version="1.0" encoding="utf-8"?>
<sst xmlns="http://schemas.openxmlformats.org/spreadsheetml/2006/main" count="1248" uniqueCount="667">
  <si>
    <t>Contact information for the person who can answer project specific questions from staff reviewers on the quantification calculations</t>
  </si>
  <si>
    <t>GGRFProgram@arb.ca.gov</t>
  </si>
  <si>
    <t>Project Name:</t>
  </si>
  <si>
    <t>Applicant ID:</t>
  </si>
  <si>
    <t>Contact Name:</t>
  </si>
  <si>
    <t>Contact Phone Number:</t>
  </si>
  <si>
    <t>Contact Email:</t>
  </si>
  <si>
    <t>Date Calculator Completed:</t>
  </si>
  <si>
    <t>Note to applicants:</t>
  </si>
  <si>
    <t>Third-party tools:</t>
  </si>
  <si>
    <t>General Documentation</t>
  </si>
  <si>
    <t>Project-Specific Documentation</t>
  </si>
  <si>
    <t>Project Information</t>
  </si>
  <si>
    <t xml:space="preserve">Project Name </t>
  </si>
  <si>
    <t>Non-GGRF Leveraged Funds ($)</t>
  </si>
  <si>
    <t>Co-benefits and Key Variables Summary</t>
  </si>
  <si>
    <t>ROG emission reductions (lbs)</t>
  </si>
  <si>
    <t>Key for color-coded fields:</t>
  </si>
  <si>
    <t>Green</t>
  </si>
  <si>
    <t>Blue</t>
  </si>
  <si>
    <t>Yellow</t>
  </si>
  <si>
    <t>Grey</t>
  </si>
  <si>
    <t>Output field / not modifiable</t>
  </si>
  <si>
    <t>Required input field</t>
  </si>
  <si>
    <t>Optional input field*</t>
  </si>
  <si>
    <t>*See "Documentation" tab for additional information</t>
  </si>
  <si>
    <t>Additional Documentation</t>
  </si>
  <si>
    <t>Documentation Description</t>
  </si>
  <si>
    <t>www.arb.ca.gov/auctionproceeds</t>
  </si>
  <si>
    <t>Total</t>
  </si>
  <si>
    <t>Helpful hints / important tips</t>
  </si>
  <si>
    <t>More information:</t>
  </si>
  <si>
    <t>ABOUT:</t>
  </si>
  <si>
    <t>Yes</t>
  </si>
  <si>
    <t>No</t>
  </si>
  <si>
    <t xml:space="preserve">Documentation Tab </t>
  </si>
  <si>
    <t>Completed?</t>
  </si>
  <si>
    <t>Not applicable</t>
  </si>
  <si>
    <t>Black</t>
  </si>
  <si>
    <t>Energy and Fuel Cost Savings ($)</t>
  </si>
  <si>
    <t>Fossil Fuel Based Energy Use Reductions (kWh)</t>
  </si>
  <si>
    <t>Fossil Fuel Based Energy Use Reductions (therms)</t>
  </si>
  <si>
    <t>Water Use Reductions (gallons)</t>
  </si>
  <si>
    <t>Renewable Energy Generation (kWh)</t>
  </si>
  <si>
    <t>Type</t>
  </si>
  <si>
    <t>Emission Rate</t>
  </si>
  <si>
    <t>Units</t>
  </si>
  <si>
    <t>GHG Emission Factors</t>
  </si>
  <si>
    <t>(lbs/MWh)</t>
  </si>
  <si>
    <t>(lbs/kWh)</t>
  </si>
  <si>
    <t>(MT/MWh)</t>
  </si>
  <si>
    <t>(MT/kWh)</t>
  </si>
  <si>
    <t>Pollutant</t>
  </si>
  <si>
    <t>ROG</t>
  </si>
  <si>
    <t>PM</t>
  </si>
  <si>
    <t>Criteria Pollutant California Average Grid Electricity Emission Factors</t>
  </si>
  <si>
    <t>Tool</t>
  </si>
  <si>
    <t>ü</t>
  </si>
  <si>
    <t>Project Component</t>
  </si>
  <si>
    <t>Inputs</t>
  </si>
  <si>
    <t>Required</t>
  </si>
  <si>
    <t>Project ID:</t>
  </si>
  <si>
    <t>Will the project increase residential, commercial, public-sector or industrial energy efficiency or renewable energy generation?</t>
  </si>
  <si>
    <t>Will the project directly benefit priority populations by providing jobs or jobs training, using GGRF funds for labor and/or training?</t>
  </si>
  <si>
    <t>Does the project target jobs (using formal targeted hiring strategies) or provide job training to residents of the community that was selected above?</t>
  </si>
  <si>
    <t>Does the project meet Step 1?</t>
  </si>
  <si>
    <t>Does the project meet Step 2?</t>
  </si>
  <si>
    <t>Does the project meet Step 3 (corresponding to Step 1)?</t>
  </si>
  <si>
    <t>AB 1550 Criteria Table: Step 1</t>
  </si>
  <si>
    <t>None</t>
  </si>
  <si>
    <t>Disadvantaged and Low-Income Community</t>
  </si>
  <si>
    <t>Disadvantaged Community</t>
  </si>
  <si>
    <t>Low-Income Community</t>
  </si>
  <si>
    <t>Buffer Zone</t>
  </si>
  <si>
    <t>Type of Facility</t>
  </si>
  <si>
    <t>GWPs of Refrigerants</t>
  </si>
  <si>
    <t>Emission Reduction Factor</t>
  </si>
  <si>
    <t>Unit</t>
  </si>
  <si>
    <t>Default Value</t>
  </si>
  <si>
    <t>R-22</t>
  </si>
  <si>
    <t>R-134a</t>
  </si>
  <si>
    <t>R-404A</t>
  </si>
  <si>
    <t>R-407A</t>
  </si>
  <si>
    <t>R-11</t>
  </si>
  <si>
    <t>R-12</t>
  </si>
  <si>
    <t>R-13</t>
  </si>
  <si>
    <t>R-13b1</t>
  </si>
  <si>
    <t>R-14</t>
  </si>
  <si>
    <t>R-23</t>
  </si>
  <si>
    <t>R-32</t>
  </si>
  <si>
    <t>R-113</t>
  </si>
  <si>
    <t>R-114</t>
  </si>
  <si>
    <t>R-115</t>
  </si>
  <si>
    <t>R-116</t>
  </si>
  <si>
    <t>R-123</t>
  </si>
  <si>
    <t>R-124</t>
  </si>
  <si>
    <t>R-125</t>
  </si>
  <si>
    <t>R-141b</t>
  </si>
  <si>
    <t>R-142b</t>
  </si>
  <si>
    <t>R-143a</t>
  </si>
  <si>
    <t>R-152a</t>
  </si>
  <si>
    <t>R-218</t>
  </si>
  <si>
    <t>R-225ca</t>
  </si>
  <si>
    <t>R-225cb</t>
  </si>
  <si>
    <t>R-227ea</t>
  </si>
  <si>
    <t>R-236fa</t>
  </si>
  <si>
    <t>R-245fa</t>
  </si>
  <si>
    <t>R-365mfc</t>
  </si>
  <si>
    <t>R-401A</t>
  </si>
  <si>
    <t>R-401B</t>
  </si>
  <si>
    <t>R-402A</t>
  </si>
  <si>
    <t>R-402B</t>
  </si>
  <si>
    <t>R-403B</t>
  </si>
  <si>
    <t>R-406A</t>
  </si>
  <si>
    <t>R-407C</t>
  </si>
  <si>
    <t>R-407F</t>
  </si>
  <si>
    <t>R-408A</t>
  </si>
  <si>
    <t>R-409A</t>
  </si>
  <si>
    <t>R-410A</t>
  </si>
  <si>
    <t>R-413A</t>
  </si>
  <si>
    <t>R-414A</t>
  </si>
  <si>
    <t>R-414B</t>
  </si>
  <si>
    <t>R-416A</t>
  </si>
  <si>
    <t>R-417A</t>
  </si>
  <si>
    <t>R-421A</t>
  </si>
  <si>
    <t>R-422A</t>
  </si>
  <si>
    <t>R-422B</t>
  </si>
  <si>
    <t>R-422C</t>
  </si>
  <si>
    <t>R-422D</t>
  </si>
  <si>
    <t>R-423A</t>
  </si>
  <si>
    <t>R-424A</t>
  </si>
  <si>
    <t>R-427A</t>
  </si>
  <si>
    <t>R-434A</t>
  </si>
  <si>
    <t>R-437A</t>
  </si>
  <si>
    <t>R-438A</t>
  </si>
  <si>
    <t>R-448A</t>
  </si>
  <si>
    <t>R-500</t>
  </si>
  <si>
    <t>R-502</t>
  </si>
  <si>
    <t>R-503</t>
  </si>
  <si>
    <t>R-508B</t>
  </si>
  <si>
    <t>R-4310mee</t>
  </si>
  <si>
    <t>EP-88</t>
  </si>
  <si>
    <t>Hot Shot 2</t>
  </si>
  <si>
    <t>Isceon MO89</t>
  </si>
  <si>
    <t>Average Annual Leak Rate</t>
  </si>
  <si>
    <t>Commercial Refrigeration systems with charge ≥ 2,000 lbs</t>
  </si>
  <si>
    <t>%</t>
  </si>
  <si>
    <t>ROG (lb)</t>
  </si>
  <si>
    <t>Total Emission Reductions</t>
  </si>
  <si>
    <t>Qualifying Question</t>
  </si>
  <si>
    <t>Added Criteria Table</t>
  </si>
  <si>
    <t>Additional Potential Project Benefits to Priority Populations</t>
  </si>
  <si>
    <t>Energy Efficiency and Renewable Energy</t>
  </si>
  <si>
    <t>Job Training and Workforce Development</t>
  </si>
  <si>
    <t>Description / Additional Supporting Information</t>
  </si>
  <si>
    <t>Step 1 – Identify the Priority Population(s)
Evaluate the project against each of the following criteria.</t>
  </si>
  <si>
    <t>Step 2 – Address a Need
Identify an important community or household need and evaluate whether the project provides a benefit that meaningfully addresses that need.</t>
  </si>
  <si>
    <t>Step 3 – Provide a Benefit
Evaluate the project against each of the following criteria to determine if it provides direct, meaningful, and assured benefits to priority populations.
The benefit provided must directly address the identified need.</t>
  </si>
  <si>
    <t>Potentially Count towards AB 1550</t>
  </si>
  <si>
    <t>Does the project potentially provide benefits to priority populations?</t>
  </si>
  <si>
    <t>Fuel Type</t>
  </si>
  <si>
    <t>Price</t>
  </si>
  <si>
    <t>Gasoline</t>
  </si>
  <si>
    <t>per gallon</t>
  </si>
  <si>
    <t>Diesel</t>
  </si>
  <si>
    <t>Compressed Natural Gas (CNG)</t>
  </si>
  <si>
    <t>per cubic foot</t>
  </si>
  <si>
    <t>Liquefied Natural Gas (LNG)</t>
  </si>
  <si>
    <t>per DGE</t>
  </si>
  <si>
    <t>Ethanol (E85)</t>
  </si>
  <si>
    <t>Propane</t>
  </si>
  <si>
    <t>Biodiesel (B5/B20)</t>
  </si>
  <si>
    <t>per kilogram</t>
  </si>
  <si>
    <t>Energy Type</t>
  </si>
  <si>
    <t>Electricity</t>
  </si>
  <si>
    <t>per kWh</t>
  </si>
  <si>
    <t>Natural Gas</t>
  </si>
  <si>
    <t>Reference</t>
  </si>
  <si>
    <t>https://www.arb.ca.gov/cc/capandtrade/auctionproceeds/final_energyfuelcost_am.pdf</t>
  </si>
  <si>
    <t>per therm</t>
  </si>
  <si>
    <t>Total GGRF Funds</t>
  </si>
  <si>
    <t>Criteria and Toxic Air Pollutant Emission Reductions</t>
  </si>
  <si>
    <t>Local</t>
  </si>
  <si>
    <t>Remote</t>
  </si>
  <si>
    <t>Criteria and Toxic Air Pollutants</t>
  </si>
  <si>
    <t>References</t>
  </si>
  <si>
    <t>EPA Emission Factors for Greenhouse Gas Inventories, as of July 7, 2017, available online at:</t>
  </si>
  <si>
    <t>https://www.epa.gov/sites/production/files/2018-03/documents/emission-factors_mar_2018_0.pdf</t>
  </si>
  <si>
    <t>https://www.arb.ca.gov/cc/inventory/data/tables/ghg_inventory_sector_sum_2000-16.pdf</t>
  </si>
  <si>
    <t xml:space="preserve">Consumption data  were obtained from the CEC Energy Almanac, last updated May 2018 available online at: </t>
  </si>
  <si>
    <t>http://www.energy.ca.gov/almanac/electricity_data/electricity_generation.html</t>
  </si>
  <si>
    <t>https://www.arb.ca.gov/app/emsinv/2017/emssumcat_query.php?F_YR=2012&amp;F_DIV=-4&amp;F_SEASON=A&amp;SP=SIP105ADJ&amp;F_AREA=CA#0</t>
  </si>
  <si>
    <t xml:space="preserve">Consumption data for in-state generation were obtained from the CEC Energy Almanac, last updated May 2018 available online at: </t>
  </si>
  <si>
    <t>CARB Refrigerant Management Program (Weighted GWP of 2020 Cold Storage Inventory)</t>
  </si>
  <si>
    <t>CARB Refrigerant Management Program</t>
  </si>
  <si>
    <t>R-717 (Ammonia)</t>
  </si>
  <si>
    <t>R-744 (Carbon Dioxide)</t>
  </si>
  <si>
    <t>R-290 (Propane)</t>
  </si>
  <si>
    <t>R-600a (Isobutane)</t>
  </si>
  <si>
    <t>R-170 (Ethane)</t>
  </si>
  <si>
    <t>R-601 (Pentane)</t>
  </si>
  <si>
    <t>R-161 (Fluoroethane)</t>
  </si>
  <si>
    <t>https://ww2.arb.ca.gov/resources/documents/high-gwp-refrigerants</t>
  </si>
  <si>
    <t>Refrigerants</t>
  </si>
  <si>
    <t>AGENCY</t>
  </si>
  <si>
    <t>PROGRAM</t>
  </si>
  <si>
    <t>PROJ_ID</t>
  </si>
  <si>
    <t>PROJ_NAME</t>
  </si>
  <si>
    <t>PROJ_TYPE</t>
  </si>
  <si>
    <t>PROJ_DESC</t>
  </si>
  <si>
    <t>ADDRESS</t>
  </si>
  <si>
    <t>LAT_LON</t>
  </si>
  <si>
    <t>EXP_RECORD_DATE</t>
  </si>
  <si>
    <t>DATE_SELECTED</t>
  </si>
  <si>
    <t>DATE_AWARDED</t>
  </si>
  <si>
    <t>PROJ_COMPLETE_DATE</t>
  </si>
  <si>
    <t>DATE_OP</t>
  </si>
  <si>
    <t>TOTAL_COST</t>
  </si>
  <si>
    <t>TOTAL_GGRF_FUNDING</t>
  </si>
  <si>
    <t>FY_FUNDING</t>
  </si>
  <si>
    <t>PROJ_MATCH_FUNDS</t>
  </si>
  <si>
    <t>QUANT_METHOD_DATE</t>
  </si>
  <si>
    <t>PROJ_LIFE</t>
  </si>
  <si>
    <t>EST_GHG_REDUCTIONS</t>
  </si>
  <si>
    <t>GHG_RED_START</t>
  </si>
  <si>
    <t>GOV_PILLAR_LIST</t>
  </si>
  <si>
    <t>OTHER_STATE_PPI</t>
  </si>
  <si>
    <t>OTHER_STATE_PPI_DESC</t>
  </si>
  <si>
    <t>SCOPING_PLAN_MEASURES</t>
  </si>
  <si>
    <t>EST_TOTAL_DPM_RED</t>
  </si>
  <si>
    <t>EST_TOTAL_NOX_RED</t>
  </si>
  <si>
    <t>EST_TOTAL_PM25_RED</t>
  </si>
  <si>
    <t>EST_TOTAL_ROG_RED</t>
  </si>
  <si>
    <t>ENERGY_COST_SAVINGS</t>
  </si>
  <si>
    <t>EST_FUEL_RED</t>
  </si>
  <si>
    <t>EST_ENERGY_SAVED_KWH</t>
  </si>
  <si>
    <t>EST_ENERGY_SAVED_THERM</t>
  </si>
  <si>
    <t>EST_WATER_SAVED_GAL</t>
  </si>
  <si>
    <t>EST_ENERGY_GEN_KWH</t>
  </si>
  <si>
    <t>PROJ_BENEFITS_DESC</t>
  </si>
  <si>
    <t>CES_VERSION</t>
  </si>
  <si>
    <t>DAC3_YN</t>
  </si>
  <si>
    <t>LOW_INCOME_YN</t>
  </si>
  <si>
    <t>BUFFER_YN</t>
  </si>
  <si>
    <t>DAC_TABLE_CHOICE</t>
  </si>
  <si>
    <t>FG17_COMM_NEED</t>
  </si>
  <si>
    <t>FG17_COMM_NEED_QUAL</t>
  </si>
  <si>
    <t>FG17_BENEFIT</t>
  </si>
  <si>
    <t>DAC_QUALITATIVE</t>
  </si>
  <si>
    <t>POTENTIAL_DAC3_COUNT</t>
  </si>
  <si>
    <t>POTENTIAL_DAC3_AMT</t>
  </si>
  <si>
    <t>POTENTIAL_LOW_INCOME_COUNT</t>
  </si>
  <si>
    <t>POTENTIAL_LOW_INCOME_AMT</t>
  </si>
  <si>
    <t>POTENTIAL_BUFFER_COUNT</t>
  </si>
  <si>
    <t>POTENTIAL_BUFFER_AMT</t>
  </si>
  <si>
    <t>AB_1550_CHOICE</t>
  </si>
  <si>
    <t>DAC3_COUNT</t>
  </si>
  <si>
    <t>DAC3_AMT</t>
  </si>
  <si>
    <t>LOW_INCOME_COUNT</t>
  </si>
  <si>
    <t>LOW_INCOME_AMT</t>
  </si>
  <si>
    <t>BUFFER_COUNT</t>
  </si>
  <si>
    <t>BUFFER_AMT</t>
  </si>
  <si>
    <t>PROJ_COUNT</t>
  </si>
  <si>
    <t>Agency</t>
  </si>
  <si>
    <t>Subprogram</t>
  </si>
  <si>
    <t>Project ID</t>
  </si>
  <si>
    <t>Project Name</t>
  </si>
  <si>
    <t>Project Type</t>
  </si>
  <si>
    <t>Project Description</t>
  </si>
  <si>
    <t>Project Address</t>
  </si>
  <si>
    <t>Project Latitude and Longitude (degrees)</t>
  </si>
  <si>
    <t>Expenditure Record Date</t>
  </si>
  <si>
    <t>Date Selected</t>
  </si>
  <si>
    <t>Date Awarded</t>
  </si>
  <si>
    <t>Project Completion Date</t>
  </si>
  <si>
    <t>Date Operational</t>
  </si>
  <si>
    <t>Total Project Cost ($)</t>
  </si>
  <si>
    <t>Total GGRF Funding Amount from this Program ($)</t>
  </si>
  <si>
    <t>Fiscal Year(s)</t>
  </si>
  <si>
    <t>Total Matching Funds ($)</t>
  </si>
  <si>
    <t>Quantification Methodology Date</t>
  </si>
  <si>
    <t>Quantification Period (years)</t>
  </si>
  <si>
    <t>GHG Emission Reductions (MTCO2E)</t>
  </si>
  <si>
    <t>Date GHG Emission Reductions Begin</t>
  </si>
  <si>
    <t>Governor’s Pillars (1;2;3;4;5;6)</t>
  </si>
  <si>
    <t>Other State Policies, Plans, or Initiatives? (Y/N)</t>
  </si>
  <si>
    <t>Describe other State Policies, Plans, or Initiatives</t>
  </si>
  <si>
    <t>Support Scoping Plan? (Y/N)</t>
  </si>
  <si>
    <t>Fossil Fuel Based Transportation Fuel Use Reductions (gallons)</t>
  </si>
  <si>
    <t>Describe Co-benefits</t>
  </si>
  <si>
    <t>CalEnviroScreen Version</t>
  </si>
  <si>
    <t>Benefit Criteria Table</t>
  </si>
  <si>
    <t>Qualifying Disadvantaged Community Benefit Count</t>
  </si>
  <si>
    <t>Qualifying Disadvantaged Community Benefit Amount ($)</t>
  </si>
  <si>
    <t>Qualifying Low-income Count</t>
  </si>
  <si>
    <t>Qualifying Low-income Amount ($)</t>
  </si>
  <si>
    <t>Qualifying 1/2-mile Low-income Buffer Count</t>
  </si>
  <si>
    <t>Qualifying 1/2-mile Low-income Buffer Amount ($)</t>
  </si>
  <si>
    <t>Select a Priority Population</t>
  </si>
  <si>
    <t>Claimed Disadvantaged Communities Benefit Count</t>
  </si>
  <si>
    <t>Claimed Disadvantaged Communities Benefit Amount ($)</t>
  </si>
  <si>
    <t>Claimed Low-income Count</t>
  </si>
  <si>
    <t>Claimed Low-income Amount ($)</t>
  </si>
  <si>
    <t>Claimed Low-income 1/2-mile Buffer Count</t>
  </si>
  <si>
    <t>Claimed Low-income 1/2-mile Buffer Amount ($)</t>
  </si>
  <si>
    <t>Count</t>
  </si>
  <si>
    <t>Project Address:</t>
  </si>
  <si>
    <t>Tier</t>
  </si>
  <si>
    <t>Co-benefits</t>
  </si>
  <si>
    <t>Total GHG Summary</t>
  </si>
  <si>
    <t>http://www.arb.ca.gov/cci-resources.</t>
  </si>
  <si>
    <t>http://www.arb.ca.gov/cci-cobenefits.</t>
  </si>
  <si>
    <r>
      <rPr>
        <b/>
        <sz val="12"/>
        <rFont val="Avenir LT Std 55 Roman"/>
        <family val="2"/>
      </rPr>
      <t>A. Recommended Approach:</t>
    </r>
    <r>
      <rPr>
        <sz val="12"/>
        <rFont val="Avenir LT Std 55 Roman"/>
        <family val="2"/>
      </rPr>
      <t xml:space="preserve"> Host community meetings, workshops, outreach efforts, or public meetings as part of the planning process to engage local residents and community groups for input on community or household needs, and document how the received input was considered in the design and/or selection of projects to address those needs.</t>
    </r>
  </si>
  <si>
    <r>
      <rPr>
        <b/>
        <sz val="12"/>
        <rFont val="Avenir LT Std 55 Roman"/>
        <family val="2"/>
      </rPr>
      <t xml:space="preserve">B. Recommended Approach: </t>
    </r>
    <r>
      <rPr>
        <sz val="12"/>
        <rFont val="Avenir LT Std 55 Roman"/>
        <family val="2"/>
      </rPr>
      <t>Receive documentation of support from local community-based organizations and/or residents (e.g., letters, emails) identifying a need that the project addresses and demonstrating that the project has broad community support.</t>
    </r>
  </si>
  <si>
    <r>
      <rPr>
        <b/>
        <sz val="12"/>
        <rFont val="Avenir LT Std 55 Roman"/>
        <family val="2"/>
      </rPr>
      <t>A1.</t>
    </r>
    <r>
      <rPr>
        <sz val="12"/>
        <rFont val="Avenir LT Std 55 Roman"/>
        <family val="2"/>
      </rPr>
      <t xml:space="preserve"> Project provides energy efficiency upgrades to residents of a disadvantaged or low-income community or a low-income household (e.g. single- or multi-family housing units, shelters, college/university campus housing).</t>
    </r>
  </si>
  <si>
    <r>
      <rPr>
        <b/>
        <sz val="12"/>
        <rFont val="Avenir LT Std 55 Roman"/>
        <family val="2"/>
      </rPr>
      <t>B1.</t>
    </r>
    <r>
      <rPr>
        <sz val="12"/>
        <rFont val="Avenir LT Std 55 Roman"/>
        <family val="2"/>
      </rPr>
      <t xml:space="preserve"> Project provides renewable energy and direct energy cost savings to residents of disadvantaged or low-income communities, or low-income households (e.g. solar photovoltaic systems or community solar).</t>
    </r>
  </si>
  <si>
    <r>
      <rPr>
        <b/>
        <sz val="12"/>
        <rFont val="Avenir LT Std 55 Roman"/>
        <family val="2"/>
      </rPr>
      <t>C1.</t>
    </r>
    <r>
      <rPr>
        <sz val="12"/>
        <rFont val="Avenir LT Std 55 Roman"/>
        <family val="2"/>
      </rPr>
      <t xml:space="preserve"> Project reduces on-site criteria air pollutant or toxic air contaminant emissions through reduction of fossil fuel consumption via efficiency improvements or electrification.</t>
    </r>
  </si>
  <si>
    <r>
      <rPr>
        <b/>
        <sz val="12"/>
        <rFont val="Avenir LT Std 55 Roman"/>
        <family val="2"/>
      </rPr>
      <t>D1.</t>
    </r>
    <r>
      <rPr>
        <sz val="12"/>
        <rFont val="Avenir LT Std 55 Roman"/>
        <family val="2"/>
      </rPr>
      <t xml:space="preserve"> Project reinvests energy or fuel cost savings that would otherwise be realized by the funding recipient into the same disadvantaged or low-income community, or to low-income households, to provide direct, meaningful, and assured benefits to residents.</t>
    </r>
  </si>
  <si>
    <r>
      <rPr>
        <b/>
        <sz val="12"/>
        <rFont val="Avenir LT Std 55 Roman"/>
        <family val="2"/>
      </rPr>
      <t xml:space="preserve">A2. </t>
    </r>
    <r>
      <rPr>
        <sz val="12"/>
        <rFont val="Avenir LT Std 55 Roman"/>
        <family val="2"/>
      </rPr>
      <t>Project provides high-quality (e.g., local living wages, health insurance, paid leave) jobs to priority populations.</t>
    </r>
  </si>
  <si>
    <r>
      <t>B2.</t>
    </r>
    <r>
      <rPr>
        <sz val="12"/>
        <rFont val="Avenir LT Std 55 Roman"/>
        <family val="2"/>
      </rPr>
      <t xml:space="preserve"> Project provides job training to priority populations that is part of a program with an established placement record.</t>
    </r>
  </si>
  <si>
    <r>
      <rPr>
        <b/>
        <sz val="12"/>
        <rFont val="Avenir LT Std 55 Roman"/>
        <family val="2"/>
      </rPr>
      <t xml:space="preserve">C2. </t>
    </r>
    <r>
      <rPr>
        <sz val="12"/>
        <rFont val="Avenir LT Std 55 Roman"/>
        <family val="2"/>
      </rPr>
      <t>Project provides job training to priority populations that includes capacity building that leads to industry-recognized credentials (e.g., certifications, certificates, degrees, licenses, other documentation of competency and qualifications).</t>
    </r>
  </si>
  <si>
    <r>
      <t>Total GHG Emission Reductions per Total Funds (MTCO</t>
    </r>
    <r>
      <rPr>
        <vertAlign val="subscript"/>
        <sz val="12"/>
        <color theme="1"/>
        <rFont val="Avenir LT Std 55 Roman"/>
        <family val="2"/>
      </rPr>
      <t>2</t>
    </r>
    <r>
      <rPr>
        <sz val="12"/>
        <color theme="1"/>
        <rFont val="Avenir LT Std 55 Roman"/>
        <family val="2"/>
      </rPr>
      <t>e/$ million)</t>
    </r>
  </si>
  <si>
    <r>
      <t>NO</t>
    </r>
    <r>
      <rPr>
        <vertAlign val="subscript"/>
        <sz val="12"/>
        <rFont val="Avenir LT Std 55 Roman"/>
        <family val="2"/>
      </rPr>
      <t>x</t>
    </r>
    <r>
      <rPr>
        <sz val="12"/>
        <rFont val="Avenir LT Std 55 Roman"/>
        <family val="2"/>
      </rPr>
      <t xml:space="preserve"> emission reductions (lbs)</t>
    </r>
  </si>
  <si>
    <r>
      <t>PM</t>
    </r>
    <r>
      <rPr>
        <vertAlign val="subscript"/>
        <sz val="12"/>
        <rFont val="Avenir LT Std 55 Roman"/>
        <family val="2"/>
      </rPr>
      <t>2.5</t>
    </r>
    <r>
      <rPr>
        <sz val="12"/>
        <rFont val="Avenir LT Std 55 Roman"/>
        <family val="2"/>
      </rPr>
      <t xml:space="preserve"> emission reductions (lbs)</t>
    </r>
  </si>
  <si>
    <r>
      <t>Quantifiable Proje</t>
    </r>
    <r>
      <rPr>
        <b/>
        <sz val="12"/>
        <rFont val="Avenir LT Std 55 Roman"/>
        <family val="2"/>
      </rPr>
      <t>ct Component</t>
    </r>
  </si>
  <si>
    <r>
      <t>GHG (MTCO</t>
    </r>
    <r>
      <rPr>
        <vertAlign val="subscript"/>
        <sz val="12"/>
        <color theme="1"/>
        <rFont val="Avenir LT Std 55 Roman"/>
        <family val="2"/>
      </rPr>
      <t>2</t>
    </r>
    <r>
      <rPr>
        <sz val="12"/>
        <color theme="1"/>
        <rFont val="Avenir LT Std 55 Roman"/>
        <family val="2"/>
      </rPr>
      <t>e)</t>
    </r>
  </si>
  <si>
    <r>
      <t>NO</t>
    </r>
    <r>
      <rPr>
        <vertAlign val="subscript"/>
        <sz val="12"/>
        <rFont val="Avenir LT Std 55 Roman"/>
        <family val="2"/>
      </rPr>
      <t>x</t>
    </r>
    <r>
      <rPr>
        <sz val="12"/>
        <rFont val="Avenir LT Std 55 Roman"/>
        <family val="2"/>
      </rPr>
      <t xml:space="preserve"> (lb)</t>
    </r>
  </si>
  <si>
    <r>
      <t>PM</t>
    </r>
    <r>
      <rPr>
        <vertAlign val="subscript"/>
        <sz val="12"/>
        <rFont val="Avenir LT Std 55 Roman"/>
        <family val="2"/>
      </rPr>
      <t>2.5</t>
    </r>
    <r>
      <rPr>
        <sz val="12"/>
        <rFont val="Avenir LT Std 55 Roman"/>
        <family val="2"/>
      </rPr>
      <t xml:space="preserve"> (lb)</t>
    </r>
  </si>
  <si>
    <r>
      <t>PM</t>
    </r>
    <r>
      <rPr>
        <vertAlign val="subscript"/>
        <sz val="12"/>
        <rFont val="Avenir LT Std 55 Roman"/>
        <family val="2"/>
      </rPr>
      <t>10</t>
    </r>
    <r>
      <rPr>
        <sz val="12"/>
        <rFont val="Avenir LT Std 55 Roman"/>
        <family val="2"/>
      </rPr>
      <t xml:space="preserve"> (lb)</t>
    </r>
  </si>
  <si>
    <r>
      <t>NO</t>
    </r>
    <r>
      <rPr>
        <vertAlign val="subscript"/>
        <sz val="12"/>
        <color theme="1"/>
        <rFont val="Avenir LT Std 55 Roman"/>
        <family val="2"/>
      </rPr>
      <t>x</t>
    </r>
  </si>
  <si>
    <r>
      <t>PM</t>
    </r>
    <r>
      <rPr>
        <vertAlign val="subscript"/>
        <sz val="12"/>
        <color theme="1"/>
        <rFont val="Avenir LT Std 55 Roman"/>
        <family val="2"/>
      </rPr>
      <t>10</t>
    </r>
  </si>
  <si>
    <r>
      <t>PM</t>
    </r>
    <r>
      <rPr>
        <vertAlign val="subscript"/>
        <sz val="12"/>
        <color theme="1"/>
        <rFont val="Avenir LT Std 55 Roman"/>
        <family val="2"/>
      </rPr>
      <t>2.5</t>
    </r>
  </si>
  <si>
    <r>
      <t>California 2017 average industrial sector energy prices</t>
    </r>
    <r>
      <rPr>
        <b/>
        <vertAlign val="superscript"/>
        <sz val="12"/>
        <color theme="1"/>
        <rFont val="Avenir LT Std 55 Roman"/>
        <family val="2"/>
      </rPr>
      <t>[1]</t>
    </r>
  </si>
  <si>
    <r>
      <t>West Coast average retail fuel prices</t>
    </r>
    <r>
      <rPr>
        <b/>
        <vertAlign val="superscript"/>
        <sz val="12"/>
        <color theme="1"/>
        <rFont val="Avenir LT Std 55 Roman"/>
        <family val="2"/>
      </rPr>
      <t>[2]</t>
    </r>
  </si>
  <si>
    <r>
      <t xml:space="preserve">Hydrogen </t>
    </r>
    <r>
      <rPr>
        <vertAlign val="superscript"/>
        <sz val="12"/>
        <color rgb="FF000000"/>
        <rFont val="Avenir LT Std 55 Roman"/>
        <family val="2"/>
      </rPr>
      <t>[3]</t>
    </r>
  </si>
  <si>
    <t>[1] U.S. Energy Information Administration (as of 2019)</t>
  </si>
  <si>
    <r>
      <t xml:space="preserve">CARB. (2019). </t>
    </r>
    <r>
      <rPr>
        <i/>
        <sz val="12"/>
        <color theme="1"/>
        <rFont val="Avenir LT Std 55 Roman"/>
        <family val="2"/>
      </rPr>
      <t>Co-benefit Assessment Methodology for Energy and Fuel Cost Savings.</t>
    </r>
  </si>
  <si>
    <t>Benefits Criteria Table
Step 3: Description of Benefits to Priority Populations</t>
  </si>
  <si>
    <t>Benefits Criteria Table
Step 3: Benefit Criteria Met</t>
  </si>
  <si>
    <t>Benefits Criteria Table
Step 2: Description of Community Need</t>
  </si>
  <si>
    <t>Benefits Criteria Table
Step 2: Identifying Community Need</t>
  </si>
  <si>
    <t>Benefits Criteria Table
Step 1: Low-income 1/2-mile Buffer Region? (Y/N)</t>
  </si>
  <si>
    <t>Benefits Criteria Table
Step 1: Low-income Community or Low-income Household? (Y/N)</t>
  </si>
  <si>
    <t>Benefits Criteria Table
Step 1: Disadvantaged Community? (Y/N)</t>
  </si>
  <si>
    <t>Induced Jobs</t>
  </si>
  <si>
    <t>Indirect Jobs</t>
  </si>
  <si>
    <t>Direct Jobs</t>
  </si>
  <si>
    <t>Land Conserved (acres)</t>
  </si>
  <si>
    <t>Community Engagement</t>
  </si>
  <si>
    <t>Climate Adaptation</t>
  </si>
  <si>
    <t>Remote Reactive Organic Gases Reductions (lbs)</t>
  </si>
  <si>
    <t>Remote PM 2.5 Reductions (lbs)</t>
  </si>
  <si>
    <t>Remote Nox Reductions (lbs)</t>
  </si>
  <si>
    <t>Total Reactive Organic Gases Reductions (lbs)</t>
  </si>
  <si>
    <t>Total PM 2.5 Reductions (lbs)</t>
  </si>
  <si>
    <t>Total NOx Reductions (lbs)</t>
  </si>
  <si>
    <t>Total Diesel PM Reductions (lbs)</t>
  </si>
  <si>
    <t>INDUCED_JOBS_FTE</t>
  </si>
  <si>
    <t>INDIRECT_JOBS_FTE</t>
  </si>
  <si>
    <t>DIRECT_JOBS_FTE</t>
  </si>
  <si>
    <t>EST_ACRES_PRESERVED</t>
  </si>
  <si>
    <t>COMMUNITY_ENGAGEMENT</t>
  </si>
  <si>
    <t>CLIMATE_ADAPTATION</t>
  </si>
  <si>
    <t>EST_STATEW_ROG_RED</t>
  </si>
  <si>
    <t>EST_STATEW_PM25_RED</t>
  </si>
  <si>
    <t>EST_STATEW_NOX_RED</t>
  </si>
  <si>
    <t>Project Completion Date (MM/DD/YYYY):</t>
  </si>
  <si>
    <t>F-gas Reduction Incentive Program</t>
  </si>
  <si>
    <r>
      <t>Total FRIP GGRF GHG Emission Reductions (MTCO</t>
    </r>
    <r>
      <rPr>
        <vertAlign val="subscript"/>
        <sz val="12"/>
        <rFont val="Avenir LT Std 55 Roman"/>
        <family val="2"/>
      </rPr>
      <t>2</t>
    </r>
    <r>
      <rPr>
        <sz val="12"/>
        <rFont val="Avenir LT Std 55 Roman"/>
        <family val="2"/>
      </rPr>
      <t>e)</t>
    </r>
  </si>
  <si>
    <t>CARB</t>
  </si>
  <si>
    <r>
      <t xml:space="preserve">Project description, including excerpts or specific references to the location in the </t>
    </r>
    <r>
      <rPr>
        <sz val="12"/>
        <rFont val="Avenir LT Std 55 Roman"/>
        <family val="2"/>
      </rPr>
      <t>main FRIP</t>
    </r>
    <r>
      <rPr>
        <sz val="12"/>
        <color rgb="FF000000"/>
        <rFont val="Avenir LT Std 55 Roman"/>
        <family val="2"/>
      </rPr>
      <t xml:space="preserve"> application of the project information necessary to complete the applicable portions of this Benefits Calculator Tool.</t>
    </r>
  </si>
  <si>
    <r>
      <t>Popula</t>
    </r>
    <r>
      <rPr>
        <sz val="12"/>
        <rFont val="Avenir LT Std 55 Roman"/>
        <family val="2"/>
      </rPr>
      <t xml:space="preserve">ted FRIP </t>
    </r>
    <r>
      <rPr>
        <sz val="12"/>
        <color rgb="FF000000"/>
        <rFont val="Avenir LT Std 55 Roman"/>
        <family val="2"/>
      </rPr>
      <t xml:space="preserve">Benefits Calculator Tool (this file) </t>
    </r>
    <r>
      <rPr>
        <sz val="12"/>
        <rFont val="Avenir LT Std 55 Roman"/>
        <family val="2"/>
      </rPr>
      <t>(in .xlsx</t>
    </r>
    <r>
      <rPr>
        <sz val="12"/>
        <color rgb="FF000000"/>
        <rFont val="Avenir LT Std 55 Roman"/>
        <family val="2"/>
      </rPr>
      <t>) with worksheets applicable to the project populated (ensure that all fields in the GHG Summary and Co-benefits Summary tabs are populated)</t>
    </r>
  </si>
  <si>
    <r>
      <t>Any other information as necessary and appropriate to substantiate</t>
    </r>
    <r>
      <rPr>
        <sz val="12"/>
        <rFont val="Avenir LT Std 55 Roman"/>
        <family val="2"/>
      </rPr>
      <t xml:space="preserve"> FRIP</t>
    </r>
    <r>
      <rPr>
        <sz val="12"/>
        <color rgb="FF000000"/>
        <rFont val="Avenir LT Std 55 Roman"/>
        <family val="2"/>
      </rPr>
      <t xml:space="preserve"> Benefits Calculator Tool inputs (e.g., software screenshots, specification sheets)</t>
    </r>
  </si>
  <si>
    <t>FRIP Benefits Calculator Tool</t>
  </si>
  <si>
    <r>
      <t>To be completed by</t>
    </r>
    <r>
      <rPr>
        <i/>
        <sz val="12"/>
        <rFont val="Avenir LT Std 55 Roman"/>
        <family val="2"/>
      </rPr>
      <t xml:space="preserve"> CARB</t>
    </r>
  </si>
  <si>
    <t>FRIP applicants must enter the applicable information in the table below before proceeding with the project-specific data on the Inputs tab.</t>
  </si>
  <si>
    <t>R-449A</t>
  </si>
  <si>
    <t>R-426A</t>
  </si>
  <si>
    <t>R-420A</t>
  </si>
  <si>
    <t>Free Zone</t>
  </si>
  <si>
    <t>R-411A</t>
  </si>
  <si>
    <t>Freeze 12</t>
  </si>
  <si>
    <t>R-407D</t>
  </si>
  <si>
    <t>R-411B</t>
  </si>
  <si>
    <t>G2018C</t>
  </si>
  <si>
    <t>R-453A</t>
  </si>
  <si>
    <t>R-442AF</t>
  </si>
  <si>
    <t>GHG-HP</t>
  </si>
  <si>
    <t>R-452A</t>
  </si>
  <si>
    <t>R-428A</t>
  </si>
  <si>
    <t>R-421B</t>
  </si>
  <si>
    <t>R-407B</t>
  </si>
  <si>
    <t>GHG-X5</t>
  </si>
  <si>
    <t>NARM-502</t>
  </si>
  <si>
    <t>R-410B</t>
  </si>
  <si>
    <t>R-417C</t>
  </si>
  <si>
    <t>R-401C</t>
  </si>
  <si>
    <t>R-466A</t>
  </si>
  <si>
    <t>R-452B</t>
  </si>
  <si>
    <t>R-513A</t>
  </si>
  <si>
    <t>R-450A</t>
  </si>
  <si>
    <t>R-454B</t>
  </si>
  <si>
    <t>R-1224yd(Z)</t>
  </si>
  <si>
    <t>R-1234ze(E)</t>
  </si>
  <si>
    <t>R-1234zd(E)</t>
  </si>
  <si>
    <t>R-514A</t>
  </si>
  <si>
    <t>R-717</t>
  </si>
  <si>
    <t>R-744</t>
  </si>
  <si>
    <t>R-290</t>
  </si>
  <si>
    <r>
      <t>MTCO</t>
    </r>
    <r>
      <rPr>
        <vertAlign val="subscript"/>
        <sz val="12"/>
        <color theme="1"/>
        <rFont val="Avenir LT Std 55 Roman"/>
        <family val="2"/>
      </rPr>
      <t>2</t>
    </r>
    <r>
      <rPr>
        <sz val="12"/>
        <color theme="1"/>
        <rFont val="Avenir LT Std 55 Roman"/>
        <family val="2"/>
      </rPr>
      <t>e/metric ton</t>
    </r>
  </si>
  <si>
    <t>FRIP GGRF Funds</t>
  </si>
  <si>
    <t xml:space="preserve">        Questions on this Benefits Calculator Tool should be sent to:</t>
  </si>
  <si>
    <t xml:space="preserve">        For more information on CARB’s efforts to support implementation of California Climate Investments, see: </t>
  </si>
  <si>
    <t xml:space="preserve">        Questions pertaining to the FRIP should be sent to:</t>
  </si>
  <si>
    <r>
      <t>(MTCO</t>
    </r>
    <r>
      <rPr>
        <vertAlign val="subscript"/>
        <sz val="12"/>
        <color theme="1"/>
        <rFont val="Avenir LT Std 55 Roman"/>
        <family val="2"/>
      </rPr>
      <t>2</t>
    </r>
    <r>
      <rPr>
        <sz val="12"/>
        <color theme="1"/>
        <rFont val="Avenir LT Std 55 Roman"/>
        <family val="2"/>
      </rPr>
      <t>e/MWh)</t>
    </r>
  </si>
  <si>
    <r>
      <t>(MTCO</t>
    </r>
    <r>
      <rPr>
        <vertAlign val="subscript"/>
        <sz val="12"/>
        <color theme="1"/>
        <rFont val="Avenir LT Std 55 Roman"/>
        <family val="2"/>
      </rPr>
      <t>2</t>
    </r>
    <r>
      <rPr>
        <sz val="12"/>
        <color theme="1"/>
        <rFont val="Avenir LT Std 55 Roman"/>
        <family val="2"/>
      </rPr>
      <t>e/kWh)</t>
    </r>
  </si>
  <si>
    <t>R-507</t>
  </si>
  <si>
    <t>Glycol</t>
  </si>
  <si>
    <t>R-729 (Air)</t>
  </si>
  <si>
    <t>R-718 (Water)</t>
  </si>
  <si>
    <t>Criteria pollutant data is derived from CARB's criteria pollutant emissions inventory for statewide stationary sources of fuel combustion for electric</t>
  </si>
  <si>
    <t>utilities and cogeneration. The latest update is based on 2012 estimated annual average emissions. Criteria pollutant emissions data are availabl</t>
  </si>
  <si>
    <t>online at:</t>
  </si>
  <si>
    <t>For the purposes of GGRF quantification methodologies, CARB developed a California grid electricity emission</t>
  </si>
  <si>
    <t>factor based on total in-state and imported electricity emissions divided by total consumption.  Emissions data</t>
  </si>
  <si>
    <t>were obtained from the CARB GHG inventory, last updated June 2018, available online at:</t>
  </si>
  <si>
    <t>California Average Grid Electricity</t>
  </si>
  <si>
    <t>[2] U.S. Department of Energy (average from October 2018 to July 2019). The West</t>
  </si>
  <si>
    <t>Coast region defined by the U.S. Energy Information Administration includes</t>
  </si>
  <si>
    <t>California, Oregon, Washington, Nevada, Arizona, Hawaii and Alaska.</t>
  </si>
  <si>
    <t>[3] California Energy Commission and California Air Resources Board (sales-weighted</t>
  </si>
  <si>
    <t>average from Q4 2017 to Q3 2018).</t>
  </si>
  <si>
    <t xml:space="preserve">Applicants must use this Benefits Calculator Tool to report the estimated GHG benefits and selected co-benefits associated with proposed projects. </t>
  </si>
  <si>
    <t>In addition to FRIP application requirements, applicants for GGRF funding are required to document results from the use of this Benefits Calculator Tool,</t>
  </si>
  <si>
    <t>including supporting materials to verify the accuracy of project-specific inputs.  Applicants are required to provide electronic documentation that is</t>
  </si>
  <si>
    <t>complete and sufficient to allow the calculations to be reviewed and replicated.  Paper copies of supporting materials must be available upon request by</t>
  </si>
  <si>
    <t>agency staff.</t>
  </si>
  <si>
    <t>estimate the greenhouse (GHG) emission reductions and selected co-benefits of each proposed project type. In an effort to enhance the analysis, provide greater</t>
  </si>
  <si>
    <t>transparency, and assist in project‑level reporting, CARB has included an output tab in this Benefits Calculator Tool for selected co‑benefits and key variables.</t>
  </si>
  <si>
    <t>are available at:</t>
  </si>
  <si>
    <t>and other benefits calculator tools use methods described in CARB's Co-benefit Assessment Methodologies. All CARB Co-benefit Assessment Methodologies</t>
  </si>
  <si>
    <t>IPCC Fourth Assessment Report (AR4)</t>
  </si>
  <si>
    <t>FOR12A</t>
  </si>
  <si>
    <t>FOR12B</t>
  </si>
  <si>
    <t>HFC-1243zf</t>
  </si>
  <si>
    <t>HFC-1345zfc</t>
  </si>
  <si>
    <t>IPCC Fifth Assessment Report (AR5)</t>
  </si>
  <si>
    <t>R-1132a</t>
  </si>
  <si>
    <t>R-1141</t>
  </si>
  <si>
    <t xml:space="preserve">R-1225ye(E) </t>
  </si>
  <si>
    <t>R-1225ye(Z)</t>
  </si>
  <si>
    <t>R-1234yf</t>
  </si>
  <si>
    <t>R-1234ze(Z)</t>
  </si>
  <si>
    <t>R-1336(Z)</t>
  </si>
  <si>
    <t>•</t>
  </si>
  <si>
    <t>IPCC Fourth Assessment Report (AR4) (Used as default refrigerant for TRUs)</t>
  </si>
  <si>
    <t>R-407H</t>
  </si>
  <si>
    <t>R-449B</t>
  </si>
  <si>
    <t>IPCC, 2007: Climate Change 2007: The Physical Science Basis. Contribution of Working Group I to the Fourth Assessment Report of the Intergovernmental Panel on Climate Change</t>
  </si>
  <si>
    <t>https://www.ipcc.ch/report/ar4/wg1/</t>
  </si>
  <si>
    <t>IPCC, 2014: Climate Change 2014: Synthesis Report. Contribution of Working Groups I, II and III to the Fifth Assessment Report of the Intergovernmental Panel on Climate Change</t>
  </si>
  <si>
    <t>[Core Writing Team, R.K. Pachauri and L.A. Meyer (eds.)]. IPCC, Geneva, Switzerland, 151 pp.</t>
  </si>
  <si>
    <t>https://www.ipcc.ch/report/ar5/syr/</t>
  </si>
  <si>
    <t>[Solomon, S., D. Qin, M. Manning, Z. Chen, M. Marquis, K.B. Averyt, M. Tignor and H.L. Miller (eds.)]. Cambridge University Press, Cambridge, United Kingdom and New York, NY,</t>
  </si>
  <si>
    <t>USA., 996 pp.</t>
  </si>
  <si>
    <t>https://ww3.arb.ca.gov/cc/capandtrade/auctionproceeds/carb_frip_draftuserguide_2020.pdf</t>
  </si>
  <si>
    <t>This worksheet is used for determining whether and/or how the project provides benefits to priority populations, per Assembly Bill 1550 requirements. By default, FRIP projects are evaluated</t>
  </si>
  <si>
    <t xml:space="preserve">using the benefit criteria table for Energy Efficiency and Renewable Energy. However, FRIP projects may also provide benefits related to Job Training and Workforce Development. </t>
  </si>
  <si>
    <t>Evaluation for whether projects benefit priority populations uses a 3-step process. If the project meets a criteria in Steps 1, 2, and 3, it may be considered as providing direct, meaningful, and</t>
  </si>
  <si>
    <t>assured benefits to priority populations and may be counted toward statutory investment minimums. The benefit criteria table for Energy Efficiency and Renewable Energy is available at:</t>
  </si>
  <si>
    <t>The following checklist is provided as a guide to applicants; additional data and/or information may be necessary to support project-specific input</t>
  </si>
  <si>
    <t>assumptions.</t>
  </si>
  <si>
    <t>Eligible For Tier II (Baseline)</t>
  </si>
  <si>
    <t>Eligible For Tier II (Replacement)</t>
  </si>
  <si>
    <t>Eligible For Tier I (Replacement)</t>
  </si>
  <si>
    <r>
      <t xml:space="preserve">A step-by-step </t>
    </r>
    <r>
      <rPr>
        <b/>
        <sz val="12"/>
        <color theme="1"/>
        <rFont val="Avenir LT Std 55 Roman"/>
        <family val="2"/>
      </rPr>
      <t>user guide</t>
    </r>
    <r>
      <rPr>
        <sz val="12"/>
        <color theme="1"/>
        <rFont val="Avenir LT Std 55 Roman"/>
        <family val="2"/>
      </rPr>
      <t xml:space="preserve">, including </t>
    </r>
    <r>
      <rPr>
        <b/>
        <sz val="12"/>
        <color theme="1"/>
        <rFont val="Avenir LT Std 55 Roman"/>
        <family val="2"/>
      </rPr>
      <t>project examples</t>
    </r>
    <r>
      <rPr>
        <sz val="12"/>
        <color theme="1"/>
        <rFont val="Avenir LT Std 55 Roman"/>
        <family val="2"/>
      </rPr>
      <t>, for this Benefits Calculator Tool is available here:</t>
    </r>
  </si>
  <si>
    <r>
      <rPr>
        <b/>
        <sz val="12"/>
        <rFont val="Avenir LT Std 55 Roman"/>
        <family val="2"/>
      </rPr>
      <t>Tier I</t>
    </r>
    <r>
      <rPr>
        <sz val="12"/>
        <rFont val="Avenir LT Std 55 Roman"/>
        <family val="2"/>
      </rPr>
      <t>: Installation of or full/partial conversion to ultra-low-GWP refrigerant (&lt; 10 GWP).</t>
    </r>
  </si>
  <si>
    <r>
      <rPr>
        <b/>
        <sz val="12"/>
        <rFont val="Avenir LT Std 55 Roman"/>
        <family val="2"/>
      </rPr>
      <t>Tier II</t>
    </r>
    <r>
      <rPr>
        <sz val="12"/>
        <rFont val="Avenir LT Std 55 Roman"/>
        <family val="2"/>
      </rPr>
      <t>: Refrigerant retrofit from high-GWP refrigerant (&gt; 3900) to lower-GWP refrigerant (&lt; 1500 GWP).</t>
    </r>
  </si>
  <si>
    <t>Existing Facility</t>
  </si>
  <si>
    <t>New Facility</t>
  </si>
  <si>
    <r>
      <t>Emission Reduction Factor (MTCO</t>
    </r>
    <r>
      <rPr>
        <b/>
        <vertAlign val="subscript"/>
        <sz val="12"/>
        <color theme="1"/>
        <rFont val="Avenir LT Std 55 Roman"/>
        <family val="2"/>
      </rPr>
      <t>2</t>
    </r>
    <r>
      <rPr>
        <b/>
        <sz val="12"/>
        <color theme="1"/>
        <rFont val="Avenir LT Std 55 Roman"/>
        <family val="2"/>
      </rPr>
      <t>e/metric ton)</t>
    </r>
  </si>
  <si>
    <t>Refrigerant</t>
  </si>
  <si>
    <t>Refrigerant Eligibility List</t>
  </si>
  <si>
    <t>Facility Type</t>
  </si>
  <si>
    <t>Existing</t>
  </si>
  <si>
    <t>New</t>
  </si>
  <si>
    <t>&gt; 3,900</t>
  </si>
  <si>
    <t>No restriction</t>
  </si>
  <si>
    <t>&lt; 10</t>
  </si>
  <si>
    <t>&lt; 1,500</t>
  </si>
  <si>
    <t>General Eligibility Requirements</t>
  </si>
  <si>
    <t>requirements, as defined in the FRIP Program Guidelines, available at:</t>
  </si>
  <si>
    <t>Applicants to the FRIP are limited to existing or planned retail food facilities located in California. The tables below list some of the eligibility</t>
  </si>
  <si>
    <t>Refrigerant Charge Requirement</t>
  </si>
  <si>
    <t>Baseline Refrigerant GWP Requirement</t>
  </si>
  <si>
    <t>Replacement Refrigerant GWP Requirement</t>
  </si>
  <si>
    <r>
      <t>Total GHG Reductions
(MTCO</t>
    </r>
    <r>
      <rPr>
        <b/>
        <vertAlign val="subscript"/>
        <sz val="12"/>
        <color theme="1"/>
        <rFont val="Avenir LT Std 55 Roman"/>
        <family val="2"/>
      </rPr>
      <t>2</t>
    </r>
    <r>
      <rPr>
        <b/>
        <sz val="12"/>
        <color theme="1"/>
        <rFont val="Avenir LT Std 55 Roman"/>
        <family val="2"/>
      </rPr>
      <t>e)</t>
    </r>
  </si>
  <si>
    <t>Total Electricity Savings
(kWh)</t>
  </si>
  <si>
    <t>Total Grid Electricity Reduction (kWh)</t>
  </si>
  <si>
    <t>#</t>
  </si>
  <si>
    <t>Acronyms</t>
  </si>
  <si>
    <t>California Air Resources Board</t>
  </si>
  <si>
    <t>Diesel PM</t>
  </si>
  <si>
    <t>diesel particulate matter</t>
  </si>
  <si>
    <t>fluorinated gas</t>
  </si>
  <si>
    <t>FRIP</t>
  </si>
  <si>
    <t>GGRF</t>
  </si>
  <si>
    <t>Greenhouse Gas Reduction Fund</t>
  </si>
  <si>
    <t>GHG</t>
  </si>
  <si>
    <t>greenhouse gas</t>
  </si>
  <si>
    <t>GWP</t>
  </si>
  <si>
    <t>global warming potential</t>
  </si>
  <si>
    <t>kWh</t>
  </si>
  <si>
    <t>kilowatt hours</t>
  </si>
  <si>
    <t>lbs</t>
  </si>
  <si>
    <t>pounds</t>
  </si>
  <si>
    <t>metric tons of carbon dioxide equivalent</t>
  </si>
  <si>
    <t>particulate matter with a diameter less than 2.5 micrometers</t>
  </si>
  <si>
    <t>RMP</t>
  </si>
  <si>
    <t>Refrigerant Management Program</t>
  </si>
  <si>
    <t>reactive organic gas</t>
  </si>
  <si>
    <t>Definitions</t>
  </si>
  <si>
    <t>Co-benefit</t>
  </si>
  <si>
    <t>A social, economic, and/or environmental benefit as a result of the proposed project in addition to the GHG emission reduction benefit.</t>
  </si>
  <si>
    <t>Energy and fuel cost savings</t>
  </si>
  <si>
    <t>Changes in energy and fuel costs to the operator because of changing the quantity of energy or fuel used, changing to an alternative energy or fuel source, and renewable energy or fuel generation.</t>
  </si>
  <si>
    <t>Key variable</t>
  </si>
  <si>
    <t xml:space="preserve">Project characteristics that contribute to a project’s GHG emission reductions and signal an additional benefit (e.g., renewable energy generated). </t>
  </si>
  <si>
    <t>Quantification period</t>
  </si>
  <si>
    <t>Unit Conversions</t>
  </si>
  <si>
    <t>1 kWh =</t>
  </si>
  <si>
    <t>MMBTU</t>
  </si>
  <si>
    <t xml:space="preserve">1 MT = </t>
  </si>
  <si>
    <t>lb</t>
  </si>
  <si>
    <t>1 MT =</t>
  </si>
  <si>
    <t>g</t>
  </si>
  <si>
    <t>1 lb =</t>
  </si>
  <si>
    <t>1 g =</t>
  </si>
  <si>
    <t>Eligible for Tier I?</t>
  </si>
  <si>
    <t>Eligible for Tier II?</t>
  </si>
  <si>
    <r>
      <t>MTCO</t>
    </r>
    <r>
      <rPr>
        <vertAlign val="subscript"/>
        <sz val="12"/>
        <color theme="1"/>
        <rFont val="Avenir LT Std 55 Roman"/>
        <family val="2"/>
      </rPr>
      <t>2</t>
    </r>
    <r>
      <rPr>
        <sz val="12"/>
        <color theme="1"/>
        <rFont val="Avenir LT Std 55 Roman"/>
        <family val="2"/>
      </rPr>
      <t>e</t>
    </r>
  </si>
  <si>
    <t>oxides of nitrogen</t>
  </si>
  <si>
    <t>Diesel PM emission reductions (lbs)</t>
  </si>
  <si>
    <r>
      <t xml:space="preserve">   </t>
    </r>
    <r>
      <rPr>
        <sz val="12"/>
        <rFont val="Calibri"/>
        <family val="2"/>
      </rPr>
      <t>•</t>
    </r>
    <r>
      <rPr>
        <sz val="12"/>
        <rFont val="Avenir LT Std 55 Roman"/>
        <family val="2"/>
      </rPr>
      <t xml:space="preserve"> PVWatts® Calculator</t>
    </r>
  </si>
  <si>
    <t>http://pvwatts.nrel.gov/</t>
  </si>
  <si>
    <t>Refrigerant Annual Leakage Assumptions</t>
  </si>
  <si>
    <t>Refrigerant End-of-Life Leakage Assumptions</t>
  </si>
  <si>
    <t>Commercial Refrigeration systems with charge ≥ 50 lbs</t>
  </si>
  <si>
    <t>CARB's California’s High Global Warming Potential Gases Emission Inventory Emission Inventory Methodology and Technical Support Document (2016)</t>
  </si>
  <si>
    <r>
      <t>Total End-of-Life
GHG Reductions
(MTCO</t>
    </r>
    <r>
      <rPr>
        <b/>
        <vertAlign val="subscript"/>
        <sz val="12"/>
        <color theme="1"/>
        <rFont val="Avenir LT Std 55 Roman"/>
        <family val="2"/>
      </rPr>
      <t>2</t>
    </r>
    <r>
      <rPr>
        <b/>
        <sz val="12"/>
        <color theme="1"/>
        <rFont val="Avenir LT Std 55 Roman"/>
        <family val="2"/>
      </rPr>
      <t>e)</t>
    </r>
  </si>
  <si>
    <t>This Benefits Calculator Tool may require data inputs obtained from a third-party tool.  Information for using the tool is available in the user</t>
  </si>
  <si>
    <r>
      <rPr>
        <sz val="12"/>
        <rFont val="Avenir LT Std 55 Roman"/>
        <family val="2"/>
      </rPr>
      <t xml:space="preserve">Is the project located within a disadvantaged community census tract, low-income community, both disadvantaged and low-income community, buffer zone, or none of the above? Use the AB 1550 mapping tool available at: </t>
    </r>
    <r>
      <rPr>
        <u/>
        <sz val="12"/>
        <color theme="8"/>
        <rFont val="Avenir LT Std 55 Roman"/>
        <family val="2"/>
      </rPr>
      <t>https://www.arb.ca.gov/cc/capandtrade/auctionproceeds/communityinvestments.htm</t>
    </r>
  </si>
  <si>
    <r>
      <rPr>
        <b/>
        <sz val="12"/>
        <rFont val="Avenir LT Std 55 Roman"/>
        <family val="2"/>
      </rPr>
      <t xml:space="preserve">C. Alternative Approach: </t>
    </r>
    <r>
      <rPr>
        <sz val="12"/>
        <rFont val="Avenir LT Std 55 Roman"/>
        <family val="2"/>
      </rPr>
      <t>Where direct engagement is infeasible, look at the individual factors in CalEnviroScreen that are most impacting an identified disadvantaged or low-income community (i.e., factors that score above the 75th percentile), and confirm that the project will reduce the impacts of at least one of those factors.</t>
    </r>
    <r>
      <rPr>
        <u/>
        <sz val="12"/>
        <color theme="8" tint="-0.499984740745262"/>
        <rFont val="Avenir LT Std 55 Roman"/>
        <family val="2"/>
      </rPr>
      <t xml:space="preserve">
</t>
    </r>
    <r>
      <rPr>
        <u/>
        <sz val="12"/>
        <color theme="8"/>
        <rFont val="Avenir LT Std 55 Roman"/>
        <family val="2"/>
      </rPr>
      <t>https://oehha.ca.gov/calenviroscreen/report/calenviroscreen-30</t>
    </r>
  </si>
  <si>
    <r>
      <rPr>
        <b/>
        <sz val="12"/>
        <rFont val="Avenir LT Std 55 Roman"/>
        <family val="2"/>
      </rPr>
      <t xml:space="preserve">D. Alternative Approach: </t>
    </r>
    <r>
      <rPr>
        <sz val="12"/>
        <rFont val="Avenir LT Std 55 Roman"/>
        <family val="2"/>
      </rPr>
      <t>Where direct engagement is infeasible, refer to the list of common needs for priority populations in CARB’s Funding Guidelines Table 5 and confirm that the project addresses at least one listed need.</t>
    </r>
    <r>
      <rPr>
        <u/>
        <sz val="12"/>
        <rFont val="Avenir LT Std 55 Roman"/>
        <family val="2"/>
      </rPr>
      <t xml:space="preserve">
</t>
    </r>
    <r>
      <rPr>
        <u/>
        <sz val="12"/>
        <color theme="8"/>
        <rFont val="Avenir LT Std 55 Roman"/>
        <family val="2"/>
      </rPr>
      <t>https://www.arb.ca.gov/cc/capandtrade/auctionproceeds/2018-funding-guidelines.pdf</t>
    </r>
  </si>
  <si>
    <t>Tier I at New Facility</t>
  </si>
  <si>
    <t>Tier II Refrigerant Retrofit</t>
  </si>
  <si>
    <t>Tier II Refrigerant Retrofit with Charge Reduction</t>
  </si>
  <si>
    <t>Description of Project Activity</t>
  </si>
  <si>
    <t>Tier I at Existing Facility, Full Conversion</t>
  </si>
  <si>
    <t>Tier I at Existing Facility, Partial Conversion</t>
  </si>
  <si>
    <t>Microdistributed Refrigeration systems</t>
  </si>
  <si>
    <r>
      <t>Total System Lifetime Leakage GHG Reductions
(MTCO</t>
    </r>
    <r>
      <rPr>
        <b/>
        <vertAlign val="subscript"/>
        <sz val="12"/>
        <color theme="1"/>
        <rFont val="Avenir LT Std 55 Roman"/>
        <family val="2"/>
      </rPr>
      <t>2</t>
    </r>
    <r>
      <rPr>
        <b/>
        <sz val="12"/>
        <color theme="1"/>
        <rFont val="Avenir LT Std 55 Roman"/>
        <family val="2"/>
      </rPr>
      <t>e)</t>
    </r>
  </si>
  <si>
    <t>guide (see above). For projects that generate renewable electricity, the following third-party tool is required to use this Benefits Calculator Tool:</t>
  </si>
  <si>
    <t>F-gas</t>
  </si>
  <si>
    <t>PV</t>
  </si>
  <si>
    <t>photovoltaic</t>
  </si>
  <si>
    <t>Number of years that the project activity will provide GHG emission reductions. Sometimes also referred to as "Project Life”, “Useful Life”, or "System Lifetime". For the purposes of FRIP projects, the quantification period is the average lifetime of the refrigeration system.</t>
  </si>
  <si>
    <t>heating, ventilation, air conditioning, and refrigeration</t>
  </si>
  <si>
    <r>
      <rPr>
        <b/>
        <sz val="12"/>
        <color theme="1"/>
        <rFont val="Avenir LT Std 55 Roman"/>
        <family val="2"/>
      </rPr>
      <t xml:space="preserve">Tier II: </t>
    </r>
    <r>
      <rPr>
        <sz val="12"/>
        <color theme="1"/>
        <rFont val="Avenir LT Std 55 Roman"/>
        <family val="2"/>
      </rPr>
      <t>Refrigerant retrofit from high-GWP (&gt; 3900) to lower-GWP refrigerant (&lt; 1500 GWP), with a permanent system charge reduction of at least 25%.</t>
    </r>
  </si>
  <si>
    <r>
      <rPr>
        <b/>
        <sz val="12"/>
        <rFont val="Avenir LT Std 55 Roman"/>
        <family val="2"/>
      </rPr>
      <t xml:space="preserve">Tier I: </t>
    </r>
    <r>
      <rPr>
        <sz val="12"/>
        <rFont val="Avenir LT Std 55 Roman"/>
        <family val="2"/>
      </rPr>
      <t>Full conversion to ultra-low-GWP refrigerant (&lt; 10 GWP) at an existing facility.</t>
    </r>
  </si>
  <si>
    <r>
      <rPr>
        <b/>
        <sz val="12"/>
        <rFont val="Avenir LT Std 55 Roman"/>
        <family val="2"/>
      </rPr>
      <t xml:space="preserve">Tier I: </t>
    </r>
    <r>
      <rPr>
        <sz val="12"/>
        <rFont val="Avenir LT Std 55 Roman"/>
        <family val="2"/>
      </rPr>
      <t>Partial conversion to ultra-low-GWP refrigerant (&lt; 10 GWP) at an existing facility.</t>
    </r>
  </si>
  <si>
    <r>
      <rPr>
        <b/>
        <sz val="12"/>
        <color theme="1"/>
        <rFont val="Avenir LT Std 55 Roman"/>
        <family val="2"/>
      </rPr>
      <t xml:space="preserve">Tier I: </t>
    </r>
    <r>
      <rPr>
        <sz val="12"/>
        <color theme="1"/>
        <rFont val="Avenir LT Std 55 Roman"/>
        <family val="2"/>
      </rPr>
      <t>Installation of ultra-low-GWP refrigerant (&lt; 10 GWP) at a new facility.</t>
    </r>
  </si>
  <si>
    <t>Type of System</t>
  </si>
  <si>
    <t>Centralized DX System</t>
  </si>
  <si>
    <t>Indirect or Cascade System</t>
  </si>
  <si>
    <t>Type of Primary Refrigerant</t>
  </si>
  <si>
    <t>Number of Identical Primary Refrigeration Systems</t>
  </si>
  <si>
    <t>Primary Refrigerant Charge per System (lb)</t>
  </si>
  <si>
    <t>Primary Refrigerant Annual Leakage Rate (%/yr)</t>
  </si>
  <si>
    <t>Type of Secondary Refrigerant</t>
  </si>
  <si>
    <t>Secondary Refrigerant Charge (lb)</t>
  </si>
  <si>
    <t>Secondary Refrigerant Annual Leakage Rate (%/yr)</t>
  </si>
  <si>
    <t>Primary Refrigerant End-of-Life Leakage (%)</t>
  </si>
  <si>
    <t>Secondary Refrigerant End-of-Life Leakage (%)</t>
  </si>
  <si>
    <t>Commercial Refrigeration systems with charge &lt; 50 lbs</t>
  </si>
  <si>
    <t>Commercial Refrigeration systems with charge &gt;50 – &lt;200 lbs</t>
  </si>
  <si>
    <t>Commercial Refrigeration systems with charge 200 – &lt;2,000 lbs</t>
  </si>
  <si>
    <r>
      <t xml:space="preserve">Commercial Refrigeration systems with charge </t>
    </r>
    <r>
      <rPr>
        <sz val="12"/>
        <color theme="1"/>
        <rFont val="Calibri"/>
        <family val="2"/>
      </rPr>
      <t>≤</t>
    </r>
    <r>
      <rPr>
        <sz val="12"/>
        <color theme="1"/>
        <rFont val="Avenir LT Std 55 Roman"/>
        <family val="2"/>
      </rPr>
      <t xml:space="preserve"> 50 lbs</t>
    </r>
  </si>
  <si>
    <t>Indirect or Cascade Refrigeration systems</t>
  </si>
  <si>
    <t>Microdistributed System with Water Loop</t>
  </si>
  <si>
    <t>Other</t>
  </si>
  <si>
    <t>Some applicant-provided data may require additional documentation to substantiate the inputs.  The expected documentation includes, but is not</t>
  </si>
  <si>
    <t>limited to, that described in the table below, organized by quantifiable project component.</t>
  </si>
  <si>
    <r>
      <rPr>
        <b/>
        <sz val="12"/>
        <rFont val="Avenir LT Std 55 Roman"/>
        <family val="2"/>
      </rPr>
      <t>Tier II:</t>
    </r>
    <r>
      <rPr>
        <sz val="12"/>
        <rFont val="Avenir LT Std 55 Roman"/>
        <family val="2"/>
      </rPr>
      <t xml:space="preserve"> Refrigerant retrofit from high-GWP (&gt; 3900) to lower-GWP refrigerant (&lt; 1500 GWP).</t>
    </r>
  </si>
  <si>
    <t>= 1,386 or 1,396 (assumption)</t>
  </si>
  <si>
    <t>&gt; 50 lb (except for microdistributed systems)</t>
  </si>
  <si>
    <r>
      <t>Total Electricity Savings GHG Reductions
(MTCO</t>
    </r>
    <r>
      <rPr>
        <b/>
        <vertAlign val="subscript"/>
        <sz val="12"/>
        <color theme="1"/>
        <rFont val="Avenir LT Std 55 Roman"/>
        <family val="2"/>
      </rPr>
      <t>2</t>
    </r>
    <r>
      <rPr>
        <b/>
        <sz val="12"/>
        <color theme="1"/>
        <rFont val="Avenir LT Std 55 Roman"/>
        <family val="2"/>
      </rPr>
      <t>e)</t>
    </r>
  </si>
  <si>
    <t>Energy Benefits</t>
  </si>
  <si>
    <t>Refrigerant Benefits</t>
  </si>
  <si>
    <t>Energy Savings</t>
  </si>
  <si>
    <t>FRIP GGRF Funds Requested</t>
  </si>
  <si>
    <t>Other GGRF Leveraged Funds</t>
  </si>
  <si>
    <t>Non-GGRF Leveraged Funds</t>
  </si>
  <si>
    <t>Match funding contributed from other California Climate Investment programs, aside from FRIP, which source funding from the Greenhouse Gas Reduction Fund.</t>
  </si>
  <si>
    <t>Match funding contributed from all other sources that are not funded by the Greenhouse Gas Reduction Fund.</t>
  </si>
  <si>
    <t>Funds that are requested to be contributed to the project by FRIP.</t>
  </si>
  <si>
    <t>Low-GWP Refrigeration System</t>
  </si>
  <si>
    <t>• Documentation to support refrigeration system information, and energy consumption estimates (if applicable)</t>
  </si>
  <si>
    <t>&gt; 50 lb</t>
  </si>
  <si>
    <t>FRIP Eligibility Checker Tool</t>
  </si>
  <si>
    <t>Type of Refrigeration Refrigerant</t>
  </si>
  <si>
    <t>Refrigeration Refrigerant Charge (lb)</t>
  </si>
  <si>
    <t>Refrigeration Annual Leakage Rate (%/yr)</t>
  </si>
  <si>
    <t>Refrigeration
End-of-Life Leakage (%)</t>
  </si>
  <si>
    <t>Type of HVAC Refrigerant</t>
  </si>
  <si>
    <t>HVAC Refrigerant Charge (lb)</t>
  </si>
  <si>
    <t>HVAC
End-of-Life Leakage (%)</t>
  </si>
  <si>
    <t>HVAC
Annual Leakage Rate (%/yr)</t>
  </si>
  <si>
    <t>Condensing Unit</t>
  </si>
  <si>
    <t>Total Refrigeration System Cost ($):</t>
  </si>
  <si>
    <t>heating, ventilation, and air conditioning</t>
  </si>
  <si>
    <t>HVAC</t>
  </si>
  <si>
    <t>HVAC-R</t>
  </si>
  <si>
    <t>To enter information for more than one baseline system (refrigeration or HVAC), you may use as many rows as necessary without having to fill out the corresponding rows'</t>
  </si>
  <si>
    <t>planned refrigeration system information. The same concept applies if you have more than one planned refrigeration system to report. For example, you may fill out two rows</t>
  </si>
  <si>
    <t>for baseline system information, and three rows for planned refrigeration system information.</t>
  </si>
  <si>
    <t>HVAC-R System (Yes/No)</t>
  </si>
  <si>
    <t>Annual Electricity Usage, per System (kWh/yr)</t>
  </si>
  <si>
    <t>Refrigerant GHG Emission Reductions</t>
  </si>
  <si>
    <t>Electricity GHG Emission Reductions</t>
  </si>
  <si>
    <r>
      <t>System Lifetime GHG Reduction
(MTCO</t>
    </r>
    <r>
      <rPr>
        <b/>
        <vertAlign val="subscript"/>
        <sz val="12"/>
        <color theme="1"/>
        <rFont val="Avenir LT Std 55 Roman"/>
        <family val="2"/>
      </rPr>
      <t>2</t>
    </r>
    <r>
      <rPr>
        <b/>
        <sz val="12"/>
        <color theme="1"/>
        <rFont val="Avenir LT Std 55 Roman"/>
        <family val="2"/>
      </rPr>
      <t>e)</t>
    </r>
  </si>
  <si>
    <r>
      <t>End-of-Life GHG Reduction
(MTCO</t>
    </r>
    <r>
      <rPr>
        <b/>
        <vertAlign val="subscript"/>
        <sz val="12"/>
        <color theme="1"/>
        <rFont val="Avenir LT Std 55 Roman"/>
        <family val="2"/>
      </rPr>
      <t>2</t>
    </r>
    <r>
      <rPr>
        <b/>
        <sz val="12"/>
        <color theme="1"/>
        <rFont val="Avenir LT Std 55 Roman"/>
        <family val="2"/>
      </rPr>
      <t>e)</t>
    </r>
  </si>
  <si>
    <r>
      <t>Refrigerant GHG Emission Reductions (MTCO</t>
    </r>
    <r>
      <rPr>
        <vertAlign val="subscript"/>
        <sz val="12"/>
        <rFont val="Avenir LT Std 55 Roman"/>
        <family val="2"/>
      </rPr>
      <t>2</t>
    </r>
    <r>
      <rPr>
        <sz val="12"/>
        <rFont val="Avenir LT Std 55 Roman"/>
        <family val="2"/>
      </rPr>
      <t>e)</t>
    </r>
  </si>
  <si>
    <r>
      <t>Electricity GHG Emission Reductions (MTCO</t>
    </r>
    <r>
      <rPr>
        <vertAlign val="subscript"/>
        <sz val="12"/>
        <rFont val="Avenir LT Std 55 Roman"/>
        <family val="2"/>
      </rPr>
      <t>2</t>
    </r>
    <r>
      <rPr>
        <sz val="12"/>
        <rFont val="Avenir LT Std 55 Roman"/>
        <family val="2"/>
      </rPr>
      <t>e)</t>
    </r>
  </si>
  <si>
    <r>
      <t>Total Refrigerant and Electricity GHG Emission Reductions (MTCO</t>
    </r>
    <r>
      <rPr>
        <vertAlign val="subscript"/>
        <sz val="12"/>
        <rFont val="Avenir LT Std 55 Roman"/>
        <family val="2"/>
      </rPr>
      <t>2</t>
    </r>
    <r>
      <rPr>
        <sz val="12"/>
        <rFont val="Avenir LT Std 55 Roman"/>
        <family val="2"/>
      </rPr>
      <t>e)</t>
    </r>
  </si>
  <si>
    <t>Total System Cost per Refrigerant GHG Emission Reductions ($/MTCO2e)</t>
  </si>
  <si>
    <t>Total System Cost ($)</t>
  </si>
  <si>
    <t>FRIP@arb.ca.gov</t>
  </si>
  <si>
    <r>
      <t>Baseline System
GHG Emissions
(MTCO</t>
    </r>
    <r>
      <rPr>
        <b/>
        <vertAlign val="subscript"/>
        <sz val="12"/>
        <color theme="1"/>
        <rFont val="Avenir LT Std 55 Roman"/>
        <family val="2"/>
      </rPr>
      <t>2</t>
    </r>
    <r>
      <rPr>
        <b/>
        <sz val="12"/>
        <color theme="1"/>
        <rFont val="Avenir LT Std 55 Roman"/>
        <family val="2"/>
      </rPr>
      <t>e)</t>
    </r>
  </si>
  <si>
    <r>
      <t>Proposed System
GHG Emissions
(MTCO</t>
    </r>
    <r>
      <rPr>
        <b/>
        <vertAlign val="subscript"/>
        <sz val="12"/>
        <color theme="1"/>
        <rFont val="Avenir LT Std 55 Roman"/>
        <family val="2"/>
      </rPr>
      <t>2</t>
    </r>
    <r>
      <rPr>
        <b/>
        <sz val="12"/>
        <color theme="1"/>
        <rFont val="Avenir LT Std 55 Roman"/>
        <family val="2"/>
      </rPr>
      <t>e)</t>
    </r>
  </si>
  <si>
    <r>
      <t>Total Refrigerant GHG Emission Reduction (MTCO</t>
    </r>
    <r>
      <rPr>
        <b/>
        <vertAlign val="subscript"/>
        <sz val="12"/>
        <color theme="1"/>
        <rFont val="Avenir LT Std 55 Roman"/>
        <family val="2"/>
      </rPr>
      <t>2</t>
    </r>
    <r>
      <rPr>
        <b/>
        <sz val="12"/>
        <color theme="1"/>
        <rFont val="Avenir LT Std 55 Roman"/>
        <family val="2"/>
      </rPr>
      <t>e)</t>
    </r>
  </si>
  <si>
    <r>
      <t>Total Grid Electricity GHG Emission Reduction (MTCO</t>
    </r>
    <r>
      <rPr>
        <b/>
        <vertAlign val="subscript"/>
        <sz val="12"/>
        <color theme="1"/>
        <rFont val="Avenir LT Std 55 Roman"/>
        <family val="2"/>
      </rPr>
      <t>2</t>
    </r>
    <r>
      <rPr>
        <b/>
        <sz val="12"/>
        <color theme="1"/>
        <rFont val="Avenir LT Std 55 Roman"/>
        <family val="2"/>
      </rPr>
      <t>e)</t>
    </r>
  </si>
  <si>
    <t>Baseline System Electricity Usage (kWh)</t>
  </si>
  <si>
    <t>Proposed System Electricity Usage (kWh)</t>
  </si>
  <si>
    <t>Baseline Refrigeration System Inputs</t>
  </si>
  <si>
    <t>Proposed Project Refrigeration System Inputs</t>
  </si>
  <si>
    <t>Proposed Project Refrigeration System Assumptions</t>
  </si>
  <si>
    <t>Baseline Refrigeration System Assumptions</t>
  </si>
  <si>
    <t>https://ww2.arb.ca.gov/sites/default/files/classic/cc/capandtrade/auctionproceeds/carb_frip_qm_userguide_final_2020.pdf</t>
  </si>
  <si>
    <t>For the California Air Resources Board (CARB) F-gas Reduction Incentive Program (FRIP), CARB staff developed this Final FRIP Benefits Calculator Tool to</t>
  </si>
  <si>
    <t xml:space="preserve">The Final FRIP Benefits Calculator Tool and Final FRIP Quantification Methodology are available for download at: </t>
  </si>
  <si>
    <t>This Final FRIP Benefits Calculator Tool uses methods described in the supporting Final FRIP Quantification Methodology. Other co-benefits estimated in this</t>
  </si>
  <si>
    <t>Annual Electricity Usage, per Refrigeration System (kWh/yr)</t>
  </si>
  <si>
    <t>Annual Electricity Usage, per HVAC System (kWh/yr)</t>
  </si>
  <si>
    <t>Self-Contained Cases (No Water Loop)</t>
  </si>
  <si>
    <t>Required input</t>
  </si>
  <si>
    <t>Optional input*</t>
  </si>
  <si>
    <t>Output field (not modifiable)</t>
  </si>
  <si>
    <t>Helpful hints</t>
  </si>
  <si>
    <t>Baseline/Existing
Refrigeration Refrigerant</t>
  </si>
  <si>
    <t>Proposed Project/Replacement Refrigeration Refrigerant</t>
  </si>
  <si>
    <t>&gt; 50 lb (except for microdistributed systems or self-contained cases)</t>
  </si>
  <si>
    <t>https://ww2.arb.ca.gov/our-work/programs/FRIP/program-materials</t>
  </si>
  <si>
    <t>Total FRIP GGRF (and LADWP) Funds Requested ($):</t>
  </si>
  <si>
    <r>
      <t>Total FRIP GGRF (and LADWP) Funds per Total Refrigerant and Electricity GHG Emission Reductions ($/MTCO</t>
    </r>
    <r>
      <rPr>
        <vertAlign val="subscript"/>
        <sz val="12"/>
        <rFont val="Avenir LT Std 55 Roman"/>
        <family val="2"/>
      </rPr>
      <t>2</t>
    </r>
    <r>
      <rPr>
        <sz val="12"/>
        <rFont val="Avenir LT Std 55 Roman"/>
        <family val="2"/>
      </rPr>
      <t>e)</t>
    </r>
  </si>
  <si>
    <r>
      <t>Total FRIP GGRF (and LADWP) Funds per Refrigerant GHG Emission Reductions ($/MTCO</t>
    </r>
    <r>
      <rPr>
        <vertAlign val="subscript"/>
        <sz val="12"/>
        <rFont val="Avenir LT Std 55 Roman"/>
        <family val="2"/>
      </rPr>
      <t>2</t>
    </r>
    <r>
      <rPr>
        <sz val="12"/>
        <rFont val="Avenir LT Std 55 Roman"/>
        <family val="2"/>
      </rPr>
      <t>e)</t>
    </r>
  </si>
  <si>
    <r>
      <rPr>
        <sz val="12"/>
        <rFont val="Avenir LT Std 55 Roman"/>
        <family val="2"/>
      </rPr>
      <t>Total FRIP GGRF</t>
    </r>
    <r>
      <rPr>
        <sz val="12"/>
        <color theme="1"/>
        <rFont val="Avenir LT Std 55 Roman"/>
        <family val="2"/>
      </rPr>
      <t xml:space="preserve"> (and LADWP) Funds Requested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</si>
</sst>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_);[Red]\(&quot;$&quot;#,##0.00\)"/>
    <numFmt numFmtId="44" formatCode="_(&quot;$&quot;* #,##0.00_);_(&quot;$&quot;* \(#,##0.00\);_(&quot;$&quot;* &quot;-&quot;??_);_(@_)"/>
    <numFmt numFmtId="43" formatCode="_(* #,##0.00_);_(* \(#,##0.00\);_(* &quot;-&quot;??_);_(@_)"/>
    <numFmt numFmtId="164" formatCode="0."/>
    <numFmt numFmtId="165" formatCode="_(&quot;$&quot;* #,##0_);_(&quot;$&quot;* \(#,##0\);_(&quot;$&quot;* &quot;-&quot;??_);_(@_)"/>
    <numFmt numFmtId="166" formatCode="0.0000"/>
    <numFmt numFmtId="167" formatCode="0.00000"/>
    <numFmt numFmtId="168" formatCode="0.000000000"/>
    <numFmt numFmtId="169" formatCode="0.000000"/>
    <numFmt numFmtId="170" formatCode="0.0%"/>
    <numFmt numFmtId="171" formatCode="&quot;$&quot;#,##0.0000_);[Red]\(&quot;$&quot;#,##0.0000\)"/>
    <numFmt numFmtId="172" formatCode="&quot;$&quot;#,##0"/>
    <numFmt numFmtId="173" formatCode="m/d/yyyy;@"/>
    <numFmt numFmtId="174" formatCode="[&lt;=9999999]###\-####;\(###\)\ ###\-####"/>
    <numFmt numFmtId="175" formatCode="#,##0.0"/>
  </numFmts>
  <fonts count="45" x14ac:knownFonts="1">
    <font>
      <sz val="11"/>
      <color theme="1"/>
      <name val="Calibri"/>
      <family val="2"/>
      <scheme val="minor"/>
    </font>
    <font>
      <sz val="11"/>
      <color theme="1"/>
      <name val="Calibri"/>
      <family val="2"/>
      <scheme val="minor"/>
    </font>
    <font>
      <sz val="10"/>
      <name val="Arial"/>
      <family val="2"/>
    </font>
    <font>
      <u/>
      <sz val="12"/>
      <color theme="10"/>
      <name val="Arial"/>
      <family val="2"/>
    </font>
    <font>
      <u/>
      <sz val="11"/>
      <color theme="10"/>
      <name val="Calibri"/>
      <family val="2"/>
    </font>
    <font>
      <sz val="12"/>
      <color rgb="FF000000"/>
      <name val="Wingdings"/>
      <charset val="2"/>
    </font>
    <font>
      <sz val="9"/>
      <color theme="1"/>
      <name val="Arial"/>
      <family val="2"/>
    </font>
    <font>
      <b/>
      <sz val="9"/>
      <name val="Arial"/>
      <family val="2"/>
    </font>
    <font>
      <b/>
      <sz val="16"/>
      <color theme="1"/>
      <name val="Avenir LT Std 55 Roman"/>
      <family val="2"/>
    </font>
    <font>
      <sz val="11"/>
      <color theme="1"/>
      <name val="Avenir LT Std 55 Roman"/>
      <family val="2"/>
    </font>
    <font>
      <b/>
      <sz val="16"/>
      <name val="Avenir LT Std 55 Roman"/>
      <family val="2"/>
    </font>
    <font>
      <sz val="12"/>
      <name val="Avenir LT Std 55 Roman"/>
      <family val="2"/>
    </font>
    <font>
      <b/>
      <sz val="12"/>
      <color theme="1"/>
      <name val="Avenir LT Std 55 Roman"/>
      <family val="2"/>
    </font>
    <font>
      <u/>
      <sz val="12"/>
      <color theme="10"/>
      <name val="Avenir LT Std 55 Roman"/>
      <family val="2"/>
    </font>
    <font>
      <b/>
      <sz val="12"/>
      <name val="Avenir LT Std 55 Roman"/>
      <family val="2"/>
    </font>
    <font>
      <sz val="12"/>
      <color theme="1"/>
      <name val="Avenir LT Std 55 Roman"/>
      <family val="2"/>
    </font>
    <font>
      <sz val="12"/>
      <color rgb="FFFF0000"/>
      <name val="Avenir LT Std 55 Roman"/>
      <family val="2"/>
    </font>
    <font>
      <sz val="12"/>
      <color theme="0"/>
      <name val="Avenir LT Std 55 Roman"/>
      <family val="2"/>
    </font>
    <font>
      <b/>
      <vertAlign val="subscript"/>
      <sz val="12"/>
      <color theme="1"/>
      <name val="Avenir LT Std 55 Roman"/>
      <family val="2"/>
    </font>
    <font>
      <i/>
      <sz val="12"/>
      <color theme="1"/>
      <name val="Avenir LT Std 55 Roman"/>
      <family val="2"/>
    </font>
    <font>
      <i/>
      <sz val="12"/>
      <name val="Avenir LT Std 55 Roman"/>
      <family val="2"/>
    </font>
    <font>
      <u/>
      <sz val="12"/>
      <color indexed="12"/>
      <name val="Avenir LT Std 55 Roman"/>
      <family val="2"/>
    </font>
    <font>
      <b/>
      <sz val="14"/>
      <color theme="1"/>
      <name val="Avenir LT Std 55 Roman"/>
      <family val="2"/>
    </font>
    <font>
      <vertAlign val="subscript"/>
      <sz val="12"/>
      <name val="Avenir LT Std 55 Roman"/>
      <family val="2"/>
    </font>
    <font>
      <vertAlign val="subscript"/>
      <sz val="12"/>
      <color theme="1"/>
      <name val="Avenir LT Std 55 Roman"/>
      <family val="2"/>
    </font>
    <font>
      <sz val="11"/>
      <name val="Avenir LT Std 55 Roman"/>
      <family val="2"/>
    </font>
    <font>
      <sz val="14"/>
      <color theme="1"/>
      <name val="Avenir LT Std 55 Roman"/>
      <family val="2"/>
    </font>
    <font>
      <b/>
      <sz val="14"/>
      <name val="Avenir LT Std 55 Roman"/>
      <family val="2"/>
    </font>
    <font>
      <b/>
      <sz val="12"/>
      <color rgb="FF000000"/>
      <name val="Avenir LT Std 55 Roman"/>
      <family val="2"/>
    </font>
    <font>
      <sz val="12"/>
      <color rgb="FF000000"/>
      <name val="Avenir LT Std 55 Roman"/>
      <family val="2"/>
    </font>
    <font>
      <b/>
      <sz val="12"/>
      <color theme="0"/>
      <name val="Avenir LT Std 55 Roman"/>
      <family val="2"/>
    </font>
    <font>
      <sz val="12"/>
      <color theme="1" tint="0.499984740745262"/>
      <name val="Avenir LT Std 55 Roman"/>
      <family val="2"/>
    </font>
    <font>
      <b/>
      <vertAlign val="superscript"/>
      <sz val="12"/>
      <color theme="1"/>
      <name val="Avenir LT Std 55 Roman"/>
      <family val="2"/>
    </font>
    <font>
      <sz val="10"/>
      <color rgb="FF000000"/>
      <name val="Avenir LT Std 55 Roman"/>
      <family val="2"/>
    </font>
    <font>
      <vertAlign val="superscript"/>
      <sz val="12"/>
      <color rgb="FF000000"/>
      <name val="Avenir LT Std 55 Roman"/>
      <family val="2"/>
    </font>
    <font>
      <b/>
      <sz val="16"/>
      <color rgb="FF0000FF"/>
      <name val="Avenir LT Std 55 Roman"/>
      <family val="2"/>
    </font>
    <font>
      <b/>
      <sz val="14"/>
      <color rgb="FF0000FF"/>
      <name val="Avenir LT Std 55 Roman"/>
      <family val="2"/>
    </font>
    <font>
      <sz val="12"/>
      <name val="Arial"/>
      <family val="2"/>
    </font>
    <font>
      <sz val="16"/>
      <color theme="1"/>
      <name val="Avenir LT Std 55 Roman"/>
      <family val="2"/>
    </font>
    <font>
      <sz val="12"/>
      <color rgb="FFC00000"/>
      <name val="Avenir LT Std 55 Roman"/>
      <family val="2"/>
    </font>
    <font>
      <sz val="12"/>
      <color theme="1"/>
      <name val="Calibri"/>
      <family val="2"/>
    </font>
    <font>
      <sz val="12"/>
      <name val="Calibri"/>
      <family val="2"/>
    </font>
    <font>
      <u/>
      <sz val="12"/>
      <name val="Avenir LT Std 55 Roman"/>
      <family val="2"/>
    </font>
    <font>
      <u/>
      <sz val="12"/>
      <color theme="8"/>
      <name val="Avenir LT Std 55 Roman"/>
      <family val="2"/>
    </font>
    <font>
      <u/>
      <sz val="12"/>
      <color theme="8" tint="-0.499984740745262"/>
      <name val="Avenir LT Std 55 Roman"/>
      <family val="2"/>
    </font>
  </fonts>
  <fills count="2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66"/>
        <bgColor indexed="64"/>
      </patternFill>
    </fill>
    <fill>
      <patternFill patternType="solid">
        <fgColor theme="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6795556505021"/>
        <bgColor indexed="64"/>
      </patternFill>
    </fill>
    <fill>
      <patternFill patternType="solid">
        <fgColor rgb="FFB7DEDF"/>
        <bgColor indexed="64"/>
      </patternFill>
    </fill>
    <fill>
      <patternFill patternType="solid">
        <fgColor rgb="FFFCD5B4"/>
        <bgColor indexed="64"/>
      </patternFill>
    </fill>
    <fill>
      <patternFill patternType="solid">
        <fgColor rgb="FFB1A0C7"/>
        <bgColor indexed="64"/>
      </patternFill>
    </fill>
    <fill>
      <patternFill patternType="solid">
        <fgColor rgb="FFB7DEE8"/>
        <bgColor indexed="64"/>
      </patternFill>
    </fill>
    <fill>
      <patternFill patternType="solid">
        <fgColor rgb="FFFFFF00"/>
        <bgColor indexed="64"/>
      </patternFill>
    </fill>
    <fill>
      <patternFill patternType="solid">
        <fgColor theme="8"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auto="1"/>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auto="1"/>
      </left>
      <right/>
      <top style="medium">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s>
  <cellStyleXfs count="13">
    <xf numFmtId="0" fontId="0"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739">
    <xf numFmtId="0" fontId="0" fillId="0" borderId="0" xfId="0"/>
    <xf numFmtId="0" fontId="5" fillId="0" borderId="25" xfId="0" applyFont="1" applyFill="1" applyBorder="1" applyAlignment="1">
      <alignment horizontal="center" vertical="center" wrapText="1"/>
    </xf>
    <xf numFmtId="0" fontId="0" fillId="0" borderId="0" xfId="0" applyProtection="1">
      <protection locked="0"/>
    </xf>
    <xf numFmtId="0" fontId="6" fillId="0" borderId="0" xfId="0" applyFont="1" applyAlignment="1" applyProtection="1">
      <protection locked="0"/>
    </xf>
    <xf numFmtId="0" fontId="6" fillId="0" borderId="0" xfId="0" applyFont="1" applyProtection="1">
      <protection locked="0"/>
    </xf>
    <xf numFmtId="0" fontId="6" fillId="0" borderId="0" xfId="0" applyFont="1" applyBorder="1" applyAlignment="1" applyProtection="1">
      <alignment horizontal="left" wrapText="1"/>
      <protection locked="0"/>
    </xf>
    <xf numFmtId="0" fontId="6" fillId="0" borderId="0" xfId="0" applyFont="1" applyAlignment="1" applyProtection="1">
      <alignment horizontal="left"/>
      <protection locked="0"/>
    </xf>
    <xf numFmtId="14" fontId="0" fillId="0" borderId="0" xfId="0" applyNumberFormat="1" applyProtection="1">
      <protection locked="0"/>
    </xf>
    <xf numFmtId="3" fontId="0" fillId="0" borderId="0" xfId="0" applyNumberFormat="1" applyProtection="1">
      <protection locked="0"/>
    </xf>
    <xf numFmtId="0" fontId="9" fillId="0" borderId="0" xfId="0" applyFont="1" applyFill="1" applyBorder="1"/>
    <xf numFmtId="0" fontId="11" fillId="0" borderId="0" xfId="0" applyFont="1" applyFill="1" applyBorder="1" applyAlignment="1">
      <alignment vertical="top" wrapText="1"/>
    </xf>
    <xf numFmtId="0" fontId="12" fillId="0" borderId="0" xfId="0" applyFont="1" applyFill="1" applyBorder="1"/>
    <xf numFmtId="0" fontId="15" fillId="0" borderId="0" xfId="0" applyFont="1"/>
    <xf numFmtId="0" fontId="15" fillId="0" borderId="0" xfId="0" applyFont="1" applyFill="1" applyBorder="1"/>
    <xf numFmtId="0" fontId="11" fillId="6" borderId="1" xfId="12" applyFont="1" applyFill="1" applyBorder="1" applyAlignment="1" applyProtection="1">
      <alignment horizontal="center" vertical="center" wrapText="1"/>
      <protection locked="0"/>
    </xf>
    <xf numFmtId="0" fontId="15" fillId="0" borderId="0" xfId="0" applyFont="1" applyFill="1" applyBorder="1" applyAlignment="1">
      <alignment vertical="top" wrapText="1"/>
    </xf>
    <xf numFmtId="0" fontId="15"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vertical="center" wrapText="1"/>
      <protection locked="0"/>
    </xf>
    <xf numFmtId="0" fontId="11" fillId="6" borderId="1" xfId="12" applyFont="1" applyFill="1" applyBorder="1" applyAlignment="1" applyProtection="1">
      <alignment vertical="center" wrapText="1"/>
      <protection locked="0"/>
    </xf>
    <xf numFmtId="0" fontId="12" fillId="0" borderId="0" xfId="0" applyFont="1" applyAlignment="1">
      <alignment vertical="top"/>
    </xf>
    <xf numFmtId="0" fontId="15" fillId="0" borderId="0" xfId="0" applyFont="1" applyAlignment="1">
      <alignment vertical="top" wrapText="1"/>
    </xf>
    <xf numFmtId="0" fontId="11" fillId="0" borderId="0" xfId="0" applyFont="1" applyAlignment="1">
      <alignment horizontal="left"/>
    </xf>
    <xf numFmtId="0" fontId="8" fillId="0" borderId="0" xfId="0" applyFont="1" applyFill="1" applyBorder="1" applyAlignment="1">
      <alignment vertical="center"/>
    </xf>
    <xf numFmtId="0" fontId="9" fillId="0" borderId="0" xfId="0" applyFont="1" applyFill="1" applyBorder="1" applyAlignment="1"/>
    <xf numFmtId="0" fontId="11" fillId="6" borderId="5" xfId="0" applyFont="1" applyFill="1" applyBorder="1" applyAlignment="1">
      <alignment vertical="center" wrapText="1"/>
    </xf>
    <xf numFmtId="0" fontId="11" fillId="5" borderId="5" xfId="0" applyFont="1" applyFill="1" applyBorder="1" applyAlignment="1">
      <alignment vertical="center" wrapText="1"/>
    </xf>
    <xf numFmtId="0" fontId="11" fillId="3" borderId="5" xfId="0" applyFont="1" applyFill="1" applyBorder="1" applyAlignment="1">
      <alignment vertical="center" wrapText="1"/>
    </xf>
    <xf numFmtId="0" fontId="11" fillId="8" borderId="5" xfId="0" applyFont="1" applyFill="1" applyBorder="1" applyAlignment="1">
      <alignment vertical="center" wrapText="1"/>
    </xf>
    <xf numFmtId="0" fontId="17" fillId="9" borderId="7" xfId="0" applyFont="1" applyFill="1" applyBorder="1" applyAlignment="1">
      <alignment vertical="center" wrapText="1"/>
    </xf>
    <xf numFmtId="0" fontId="12" fillId="0" borderId="0" xfId="0" applyFont="1" applyFill="1" applyBorder="1" applyAlignment="1">
      <alignment wrapText="1"/>
    </xf>
    <xf numFmtId="0" fontId="11" fillId="0" borderId="0" xfId="0" applyFont="1"/>
    <xf numFmtId="0" fontId="9" fillId="0" borderId="0" xfId="0" applyFont="1" applyFill="1" applyBorder="1" applyAlignment="1">
      <alignment horizontal="left" vertical="center"/>
    </xf>
    <xf numFmtId="0" fontId="14" fillId="0" borderId="0" xfId="3" applyFont="1" applyFill="1" applyBorder="1" applyAlignment="1">
      <alignment vertical="top" wrapText="1"/>
    </xf>
    <xf numFmtId="0" fontId="14" fillId="0" borderId="0" xfId="0" applyFont="1" applyFill="1" applyBorder="1" applyAlignment="1">
      <alignment vertical="top" wrapText="1"/>
    </xf>
    <xf numFmtId="0" fontId="14" fillId="0" borderId="0" xfId="3" applyFont="1" applyFill="1" applyBorder="1" applyAlignment="1">
      <alignment vertical="top"/>
    </xf>
    <xf numFmtId="0" fontId="13" fillId="0" borderId="0" xfId="3" applyFont="1" applyFill="1" applyBorder="1" applyAlignment="1">
      <alignment vertical="top" wrapText="1"/>
    </xf>
    <xf numFmtId="0" fontId="11" fillId="0" borderId="0" xfId="3" applyFont="1" applyFill="1" applyBorder="1" applyAlignment="1">
      <alignment horizontal="left" vertical="top" wrapText="1" indent="3"/>
    </xf>
    <xf numFmtId="0" fontId="11" fillId="0" borderId="0" xfId="0" applyFont="1" applyFill="1" applyBorder="1"/>
    <xf numFmtId="1" fontId="11" fillId="0" borderId="0" xfId="0" applyNumberFormat="1" applyFont="1" applyFill="1" applyBorder="1"/>
    <xf numFmtId="0" fontId="16" fillId="0" borderId="0" xfId="0" applyFont="1" applyFill="1" applyBorder="1" applyAlignment="1">
      <alignment vertical="top" wrapText="1"/>
    </xf>
    <xf numFmtId="0" fontId="13" fillId="0" borderId="0" xfId="3" applyFont="1" applyFill="1" applyBorder="1"/>
    <xf numFmtId="0" fontId="13" fillId="0" borderId="5" xfId="3" applyFont="1" applyFill="1" applyBorder="1" applyAlignment="1">
      <alignment horizontal="left" vertical="top"/>
    </xf>
    <xf numFmtId="0" fontId="9" fillId="0" borderId="0" xfId="0" applyFont="1" applyFill="1" applyBorder="1" applyProtection="1"/>
    <xf numFmtId="0" fontId="13" fillId="0" borderId="6" xfId="3" applyFont="1" applyFill="1" applyBorder="1" applyAlignment="1" applyProtection="1">
      <protection locked="0"/>
    </xf>
    <xf numFmtId="0" fontId="11" fillId="0" borderId="7" xfId="3" applyFont="1" applyFill="1" applyBorder="1" applyAlignment="1">
      <alignment horizontal="left" vertical="top" wrapText="1"/>
    </xf>
    <xf numFmtId="0" fontId="11" fillId="0" borderId="8" xfId="3" applyFont="1" applyFill="1" applyBorder="1" applyAlignment="1">
      <alignment horizontal="left" vertical="top" wrapText="1"/>
    </xf>
    <xf numFmtId="0" fontId="13" fillId="0" borderId="9" xfId="3" applyFont="1" applyFill="1" applyBorder="1" applyAlignment="1">
      <alignment horizontal="left" vertical="top" wrapText="1"/>
    </xf>
    <xf numFmtId="0" fontId="13" fillId="0" borderId="0" xfId="3" applyFont="1" applyFill="1" applyBorder="1" applyAlignment="1">
      <alignment horizontal="left" vertical="top" wrapText="1"/>
    </xf>
    <xf numFmtId="0" fontId="12" fillId="0" borderId="0" xfId="0" applyFont="1" applyFill="1" applyBorder="1" applyAlignment="1">
      <alignment horizontal="right"/>
    </xf>
    <xf numFmtId="0" fontId="11"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Protection="1"/>
    <xf numFmtId="3" fontId="11" fillId="3" borderId="1" xfId="7" applyNumberFormat="1" applyFont="1" applyFill="1" applyBorder="1" applyAlignment="1" applyProtection="1">
      <alignment horizontal="center" vertical="center"/>
    </xf>
    <xf numFmtId="0" fontId="15" fillId="0" borderId="0" xfId="0" applyFont="1" applyFill="1" applyBorder="1" applyAlignment="1">
      <alignment horizontal="right" wrapText="1"/>
    </xf>
    <xf numFmtId="0" fontId="12" fillId="0" borderId="0" xfId="0" applyFont="1" applyFill="1" applyBorder="1" applyAlignment="1">
      <alignment horizontal="right" wrapText="1"/>
    </xf>
    <xf numFmtId="0" fontId="15" fillId="0" borderId="0" xfId="0" applyFont="1" applyFill="1" applyBorder="1" applyAlignment="1">
      <alignment horizontal="right" vertical="top" wrapText="1"/>
    </xf>
    <xf numFmtId="0" fontId="15" fillId="0" borderId="0" xfId="0" applyFont="1" applyAlignment="1">
      <alignment horizontal="left" vertical="top" wrapText="1"/>
    </xf>
    <xf numFmtId="0" fontId="29" fillId="6" borderId="1" xfId="0" applyFont="1" applyFill="1" applyBorder="1" applyAlignment="1" applyProtection="1">
      <alignment vertical="center" wrapText="1"/>
      <protection locked="0"/>
    </xf>
    <xf numFmtId="0" fontId="12" fillId="7" borderId="1" xfId="0" applyFont="1" applyFill="1" applyBorder="1" applyAlignment="1">
      <alignment horizontal="center" vertical="center" wrapText="1"/>
    </xf>
    <xf numFmtId="0" fontId="11" fillId="0" borderId="1" xfId="0" applyFont="1" applyBorder="1" applyAlignment="1">
      <alignment horizontal="left" vertical="top" wrapText="1"/>
    </xf>
    <xf numFmtId="0" fontId="15" fillId="0" borderId="1" xfId="0" applyFont="1" applyBorder="1" applyAlignment="1">
      <alignment horizontal="left" vertical="center" wrapText="1"/>
    </xf>
    <xf numFmtId="0" fontId="25" fillId="0" borderId="0" xfId="0" applyFont="1" applyFill="1" applyBorder="1" applyProtection="1"/>
    <xf numFmtId="0" fontId="11" fillId="0" borderId="0" xfId="0" applyFont="1" applyFill="1" applyBorder="1" applyProtection="1"/>
    <xf numFmtId="0" fontId="16" fillId="0" borderId="0" xfId="0" applyFont="1" applyFill="1" applyBorder="1" applyProtection="1"/>
    <xf numFmtId="3" fontId="12" fillId="2" borderId="1" xfId="0" applyNumberFormat="1" applyFont="1" applyFill="1" applyBorder="1" applyAlignment="1" applyProtection="1">
      <alignment horizontal="center" vertical="center"/>
    </xf>
    <xf numFmtId="0" fontId="31" fillId="16" borderId="0" xfId="0" applyFont="1" applyFill="1" applyBorder="1" applyProtection="1"/>
    <xf numFmtId="0" fontId="31" fillId="16" borderId="17" xfId="0" applyFont="1" applyFill="1" applyBorder="1" applyAlignment="1" applyProtection="1">
      <alignment horizontal="center" vertical="center"/>
    </xf>
    <xf numFmtId="0" fontId="31" fillId="16" borderId="19" xfId="0" applyFont="1" applyFill="1" applyBorder="1" applyAlignment="1" applyProtection="1">
      <alignment horizontal="center" vertical="center"/>
    </xf>
    <xf numFmtId="3" fontId="12" fillId="2" borderId="45" xfId="0" applyNumberFormat="1" applyFont="1" applyFill="1" applyBorder="1" applyAlignment="1" applyProtection="1">
      <alignment horizontal="center" vertical="center"/>
    </xf>
    <xf numFmtId="3" fontId="15" fillId="3" borderId="45" xfId="0" applyNumberFormat="1" applyFont="1" applyFill="1" applyBorder="1" applyAlignment="1" applyProtection="1">
      <alignment horizontal="center" vertical="center"/>
    </xf>
    <xf numFmtId="0" fontId="15" fillId="0" borderId="0" xfId="0" applyFont="1" applyFill="1" applyBorder="1" applyProtection="1"/>
    <xf numFmtId="0" fontId="11" fillId="0" borderId="0" xfId="0" applyFont="1" applyFill="1" applyBorder="1" applyAlignment="1" applyProtection="1">
      <alignment vertical="top" wrapText="1"/>
    </xf>
    <xf numFmtId="0" fontId="16" fillId="0" borderId="0" xfId="0" applyFont="1" applyFill="1" applyBorder="1" applyAlignment="1" applyProtection="1">
      <alignment vertical="top"/>
    </xf>
    <xf numFmtId="0" fontId="12" fillId="12" borderId="17" xfId="0" applyFont="1" applyFill="1" applyBorder="1" applyAlignment="1" applyProtection="1">
      <alignment horizontal="center" vertical="center"/>
    </xf>
    <xf numFmtId="0" fontId="12" fillId="12" borderId="18" xfId="0" applyFont="1" applyFill="1" applyBorder="1" applyAlignment="1" applyProtection="1">
      <alignment horizontal="center"/>
    </xf>
    <xf numFmtId="0" fontId="12" fillId="12" borderId="19" xfId="0" applyFont="1" applyFill="1" applyBorder="1" applyAlignment="1" applyProtection="1">
      <alignment horizontal="center"/>
    </xf>
    <xf numFmtId="0" fontId="15" fillId="0" borderId="28" xfId="0" applyFont="1" applyFill="1" applyBorder="1" applyAlignment="1" applyProtection="1">
      <alignment horizontal="center"/>
    </xf>
    <xf numFmtId="2" fontId="15" fillId="6" borderId="1" xfId="0" applyNumberFormat="1" applyFont="1" applyFill="1" applyBorder="1" applyAlignment="1" applyProtection="1">
      <alignment horizontal="center"/>
    </xf>
    <xf numFmtId="0" fontId="15" fillId="0" borderId="16" xfId="0" applyFont="1" applyFill="1" applyBorder="1" applyAlignment="1" applyProtection="1">
      <alignment horizontal="center"/>
    </xf>
    <xf numFmtId="0" fontId="15" fillId="0" borderId="19" xfId="0" applyFont="1" applyFill="1" applyBorder="1" applyAlignment="1" applyProtection="1">
      <alignment horizontal="center"/>
    </xf>
    <xf numFmtId="166" fontId="15" fillId="6" borderId="25" xfId="0" applyNumberFormat="1" applyFont="1" applyFill="1" applyBorder="1" applyAlignment="1" applyProtection="1">
      <alignment horizontal="center"/>
    </xf>
    <xf numFmtId="167" fontId="15" fillId="6" borderId="1" xfId="0" applyNumberFormat="1" applyFont="1" applyFill="1" applyBorder="1" applyAlignment="1" applyProtection="1">
      <alignment horizontal="center"/>
    </xf>
    <xf numFmtId="1" fontId="11" fillId="0" borderId="0" xfId="0" applyNumberFormat="1" applyFont="1" applyFill="1" applyBorder="1" applyProtection="1"/>
    <xf numFmtId="166" fontId="15" fillId="6" borderId="36" xfId="0" applyNumberFormat="1" applyFont="1" applyFill="1" applyBorder="1" applyAlignment="1" applyProtection="1">
      <alignment horizontal="center"/>
    </xf>
    <xf numFmtId="0" fontId="15" fillId="0" borderId="39" xfId="0" applyFont="1" applyFill="1" applyBorder="1" applyAlignment="1" applyProtection="1">
      <alignment horizontal="center"/>
    </xf>
    <xf numFmtId="0" fontId="12" fillId="17" borderId="33" xfId="0" applyFont="1" applyFill="1" applyBorder="1" applyAlignment="1" applyProtection="1">
      <alignment vertical="top"/>
    </xf>
    <xf numFmtId="0" fontId="12" fillId="17" borderId="34" xfId="0" applyFont="1" applyFill="1" applyBorder="1" applyAlignment="1" applyProtection="1">
      <alignment vertical="top"/>
    </xf>
    <xf numFmtId="0" fontId="12" fillId="17" borderId="32" xfId="0" applyFont="1" applyFill="1" applyBorder="1" applyAlignment="1" applyProtection="1">
      <alignment vertical="top"/>
    </xf>
    <xf numFmtId="0" fontId="15" fillId="0" borderId="0" xfId="0" applyFont="1" applyBorder="1" applyAlignment="1" applyProtection="1">
      <alignment vertical="top" wrapText="1"/>
    </xf>
    <xf numFmtId="0" fontId="15" fillId="0" borderId="0" xfId="0" applyFont="1" applyBorder="1" applyAlignment="1" applyProtection="1">
      <alignment horizontal="left"/>
    </xf>
    <xf numFmtId="0" fontId="9" fillId="0" borderId="0" xfId="0" applyFont="1" applyFill="1" applyBorder="1" applyAlignment="1" applyProtection="1">
      <alignment horizontal="left"/>
    </xf>
    <xf numFmtId="0" fontId="15" fillId="0" borderId="5" xfId="0" applyFont="1" applyBorder="1" applyProtection="1"/>
    <xf numFmtId="0" fontId="15" fillId="0" borderId="0" xfId="0" applyFont="1" applyBorder="1" applyProtection="1"/>
    <xf numFmtId="0" fontId="15" fillId="0" borderId="6" xfId="0" applyFont="1" applyBorder="1" applyProtection="1"/>
    <xf numFmtId="0" fontId="13" fillId="0" borderId="5" xfId="3" applyFont="1" applyBorder="1" applyAlignment="1" applyProtection="1"/>
    <xf numFmtId="0" fontId="13" fillId="0" borderId="5" xfId="12" applyFont="1" applyBorder="1" applyAlignment="1" applyProtection="1">
      <alignment horizontal="left"/>
    </xf>
    <xf numFmtId="0" fontId="13" fillId="0" borderId="0" xfId="12" applyFont="1" applyBorder="1" applyAlignment="1" applyProtection="1">
      <alignment horizontal="left"/>
    </xf>
    <xf numFmtId="0" fontId="9" fillId="0" borderId="6" xfId="0" applyFont="1" applyFill="1" applyBorder="1" applyProtection="1"/>
    <xf numFmtId="0" fontId="12" fillId="0" borderId="0" xfId="0" applyFont="1" applyFill="1" applyBorder="1" applyAlignment="1" applyProtection="1">
      <alignment horizontal="left" vertical="top"/>
    </xf>
    <xf numFmtId="0" fontId="9" fillId="0" borderId="9" xfId="0" applyFont="1" applyFill="1" applyBorder="1" applyProtection="1"/>
    <xf numFmtId="166" fontId="15" fillId="13" borderId="1" xfId="0" applyNumberFormat="1" applyFont="1" applyFill="1" applyBorder="1" applyAlignment="1" applyProtection="1">
      <alignment horizontal="center" vertical="center"/>
    </xf>
    <xf numFmtId="169" fontId="15" fillId="13" borderId="1" xfId="0" applyNumberFormat="1" applyFont="1" applyFill="1" applyBorder="1" applyAlignment="1" applyProtection="1">
      <alignment horizontal="center" vertical="center"/>
    </xf>
    <xf numFmtId="166" fontId="15" fillId="13" borderId="18" xfId="0" applyNumberFormat="1" applyFont="1" applyFill="1" applyBorder="1" applyAlignment="1" applyProtection="1">
      <alignment horizontal="center" vertical="center"/>
    </xf>
    <xf numFmtId="169" fontId="15" fillId="13" borderId="18" xfId="0" applyNumberFormat="1" applyFont="1" applyFill="1" applyBorder="1" applyAlignment="1" applyProtection="1">
      <alignment horizontal="center" vertical="center"/>
    </xf>
    <xf numFmtId="0" fontId="15" fillId="0" borderId="6" xfId="0" applyFont="1" applyFill="1" applyBorder="1" applyAlignment="1" applyProtection="1"/>
    <xf numFmtId="0" fontId="12" fillId="0" borderId="15" xfId="0" applyFont="1" applyFill="1" applyBorder="1" applyAlignment="1" applyProtection="1">
      <alignment horizontal="center"/>
    </xf>
    <xf numFmtId="0" fontId="15" fillId="0" borderId="8" xfId="0" applyFont="1" applyBorder="1" applyProtection="1"/>
    <xf numFmtId="0" fontId="12" fillId="0" borderId="1" xfId="0" applyFont="1" applyBorder="1" applyAlignment="1" applyProtection="1">
      <alignment horizontal="center" vertical="center"/>
    </xf>
    <xf numFmtId="0" fontId="12" fillId="0" borderId="16" xfId="0" applyFont="1" applyBorder="1" applyAlignment="1" applyProtection="1">
      <alignment horizontal="center" vertical="center"/>
    </xf>
    <xf numFmtId="0" fontId="15" fillId="0" borderId="15" xfId="0" applyFont="1" applyBorder="1" applyAlignment="1" applyProtection="1">
      <alignment horizontal="center" vertical="center"/>
    </xf>
    <xf numFmtId="168" fontId="15" fillId="13" borderId="1" xfId="0" applyNumberFormat="1" applyFont="1" applyFill="1" applyBorder="1" applyAlignment="1" applyProtection="1">
      <alignment horizontal="center" vertical="center"/>
    </xf>
    <xf numFmtId="169" fontId="15" fillId="13" borderId="16" xfId="0" applyNumberFormat="1" applyFont="1" applyFill="1" applyBorder="1" applyAlignment="1" applyProtection="1">
      <alignment horizontal="center" vertical="center"/>
    </xf>
    <xf numFmtId="0" fontId="15" fillId="0" borderId="17" xfId="0" applyFont="1" applyBorder="1" applyAlignment="1" applyProtection="1">
      <alignment horizontal="center" vertical="center"/>
    </xf>
    <xf numFmtId="168" fontId="15" fillId="13" borderId="18" xfId="0" applyNumberFormat="1" applyFont="1" applyFill="1" applyBorder="1" applyAlignment="1" applyProtection="1">
      <alignment horizontal="center" vertical="center"/>
    </xf>
    <xf numFmtId="169" fontId="15" fillId="13" borderId="19" xfId="0" applyNumberFormat="1" applyFont="1" applyFill="1" applyBorder="1" applyAlignment="1" applyProtection="1">
      <alignment horizontal="center" vertical="center"/>
    </xf>
    <xf numFmtId="0" fontId="13" fillId="0" borderId="7" xfId="3" applyFont="1" applyBorder="1" applyAlignment="1" applyProtection="1"/>
    <xf numFmtId="0" fontId="15" fillId="0" borderId="9" xfId="0" applyFont="1" applyBorder="1" applyProtection="1"/>
    <xf numFmtId="0" fontId="15" fillId="0" borderId="0" xfId="0" applyFont="1" applyFill="1" applyBorder="1" applyAlignment="1" applyProtection="1">
      <alignment horizontal="center" vertical="center"/>
    </xf>
    <xf numFmtId="169" fontId="15" fillId="0" borderId="0" xfId="0" applyNumberFormat="1" applyFont="1" applyFill="1" applyBorder="1" applyAlignment="1" applyProtection="1">
      <alignment horizontal="center" vertical="center"/>
    </xf>
    <xf numFmtId="168" fontId="15" fillId="0" borderId="0" xfId="0" applyNumberFormat="1" applyFont="1" applyFill="1" applyBorder="1" applyAlignment="1" applyProtection="1">
      <alignment horizontal="center" vertical="center"/>
    </xf>
    <xf numFmtId="166" fontId="15" fillId="0" borderId="0" xfId="0" applyNumberFormat="1" applyFont="1" applyFill="1" applyBorder="1" applyAlignment="1" applyProtection="1">
      <alignment horizontal="center" vertical="center"/>
    </xf>
    <xf numFmtId="0" fontId="15" fillId="0" borderId="15" xfId="0" applyFont="1" applyFill="1" applyBorder="1" applyProtection="1"/>
    <xf numFmtId="0" fontId="15" fillId="0" borderId="1" xfId="0" applyFont="1" applyFill="1" applyBorder="1" applyAlignment="1" applyProtection="1">
      <alignment horizontal="center"/>
    </xf>
    <xf numFmtId="0" fontId="15" fillId="0" borderId="17" xfId="0" applyFont="1" applyFill="1" applyBorder="1" applyProtection="1"/>
    <xf numFmtId="0" fontId="15" fillId="0" borderId="18" xfId="0" applyFont="1" applyFill="1" applyBorder="1" applyAlignment="1" applyProtection="1">
      <alignment horizontal="center"/>
    </xf>
    <xf numFmtId="0" fontId="15" fillId="0" borderId="5" xfId="0" applyFont="1" applyFill="1" applyBorder="1" applyProtection="1"/>
    <xf numFmtId="0" fontId="15" fillId="0" borderId="0" xfId="0" applyFont="1" applyFill="1" applyBorder="1" applyAlignment="1" applyProtection="1">
      <alignment horizontal="center"/>
    </xf>
    <xf numFmtId="0" fontId="15" fillId="0" borderId="0" xfId="0" applyFont="1" applyFill="1" applyBorder="1" applyAlignment="1" applyProtection="1"/>
    <xf numFmtId="0" fontId="13" fillId="0" borderId="7" xfId="3" applyFont="1" applyFill="1" applyBorder="1" applyProtection="1"/>
    <xf numFmtId="0" fontId="15" fillId="0" borderId="8" xfId="0" applyFont="1" applyFill="1" applyBorder="1" applyAlignment="1" applyProtection="1"/>
    <xf numFmtId="0" fontId="28" fillId="2" borderId="15" xfId="0"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0" fontId="28" fillId="2" borderId="16" xfId="0" applyFont="1" applyFill="1" applyBorder="1" applyAlignment="1" applyProtection="1">
      <alignment horizontal="center" vertical="center"/>
    </xf>
    <xf numFmtId="0" fontId="29" fillId="3" borderId="15" xfId="0" applyFont="1" applyFill="1" applyBorder="1" applyAlignment="1" applyProtection="1">
      <alignment vertical="center"/>
    </xf>
    <xf numFmtId="171" fontId="29" fillId="3" borderId="1" xfId="0" applyNumberFormat="1" applyFont="1" applyFill="1" applyBorder="1" applyAlignment="1" applyProtection="1">
      <alignment horizontal="center" vertical="center"/>
    </xf>
    <xf numFmtId="0" fontId="29" fillId="3" borderId="16" xfId="0" applyFont="1" applyFill="1" applyBorder="1" applyAlignment="1" applyProtection="1">
      <alignment horizontal="center" vertical="center"/>
    </xf>
    <xf numFmtId="0" fontId="29" fillId="3" borderId="35" xfId="0" applyFont="1" applyFill="1" applyBorder="1" applyAlignment="1" applyProtection="1">
      <alignment vertical="center"/>
    </xf>
    <xf numFmtId="8" fontId="29" fillId="3" borderId="36" xfId="0" applyNumberFormat="1" applyFont="1" applyFill="1" applyBorder="1" applyAlignment="1" applyProtection="1">
      <alignment horizontal="center" vertical="center"/>
    </xf>
    <xf numFmtId="0" fontId="29" fillId="3" borderId="39" xfId="0" applyFont="1" applyFill="1" applyBorder="1" applyAlignment="1" applyProtection="1">
      <alignment horizontal="center" vertical="center"/>
    </xf>
    <xf numFmtId="0" fontId="33" fillId="3" borderId="29" xfId="0" applyFont="1" applyFill="1" applyBorder="1" applyAlignment="1" applyProtection="1">
      <alignment vertical="center"/>
    </xf>
    <xf numFmtId="8" fontId="33" fillId="3" borderId="30" xfId="0" applyNumberFormat="1" applyFont="1" applyFill="1" applyBorder="1" applyAlignment="1" applyProtection="1">
      <alignment horizontal="center" vertical="center"/>
    </xf>
    <xf numFmtId="0" fontId="33" fillId="3" borderId="31" xfId="0" applyFont="1" applyFill="1" applyBorder="1" applyAlignment="1" applyProtection="1">
      <alignment horizontal="center" vertical="center"/>
    </xf>
    <xf numFmtId="0" fontId="15" fillId="0" borderId="0" xfId="0" applyFont="1" applyAlignment="1" applyProtection="1">
      <alignment vertical="center" wrapText="1"/>
    </xf>
    <xf numFmtId="8" fontId="29" fillId="3" borderId="1" xfId="0" applyNumberFormat="1" applyFont="1" applyFill="1" applyBorder="1" applyAlignment="1" applyProtection="1">
      <alignment horizontal="center" vertical="center"/>
    </xf>
    <xf numFmtId="0" fontId="29" fillId="3" borderId="17" xfId="0" applyFont="1" applyFill="1" applyBorder="1" applyAlignment="1" applyProtection="1">
      <alignment vertical="center"/>
    </xf>
    <xf numFmtId="8" fontId="29" fillId="3" borderId="18" xfId="0" applyNumberFormat="1" applyFont="1" applyFill="1" applyBorder="1" applyAlignment="1" applyProtection="1">
      <alignment horizontal="center" vertical="center"/>
    </xf>
    <xf numFmtId="0" fontId="29" fillId="3" borderId="19" xfId="0" applyFont="1" applyFill="1" applyBorder="1" applyAlignment="1" applyProtection="1">
      <alignment horizontal="center" vertical="center"/>
    </xf>
    <xf numFmtId="0" fontId="15" fillId="0" borderId="0" xfId="0" applyFont="1" applyProtection="1"/>
    <xf numFmtId="0" fontId="13" fillId="0" borderId="0" xfId="12" applyFont="1" applyBorder="1" applyAlignment="1" applyProtection="1">
      <alignment vertical="center" wrapText="1"/>
    </xf>
    <xf numFmtId="0" fontId="15" fillId="0" borderId="0" xfId="0" applyFont="1" applyBorder="1" applyAlignment="1" applyProtection="1">
      <alignment vertical="center" wrapText="1"/>
    </xf>
    <xf numFmtId="0" fontId="13" fillId="0" borderId="0" xfId="12" applyFont="1" applyAlignment="1" applyProtection="1">
      <alignment vertical="center"/>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10" fillId="0" borderId="0" xfId="0" applyFont="1" applyFill="1" applyBorder="1" applyAlignment="1" applyProtection="1">
      <alignment horizontal="center" vertical="center"/>
    </xf>
    <xf numFmtId="0" fontId="12" fillId="0" borderId="26" xfId="0" applyFont="1" applyBorder="1" applyProtection="1"/>
    <xf numFmtId="0" fontId="12" fillId="0" borderId="41" xfId="0" applyFont="1" applyFill="1" applyBorder="1" applyProtection="1"/>
    <xf numFmtId="0" fontId="15" fillId="0" borderId="24" xfId="0" applyFont="1" applyBorder="1" applyProtection="1"/>
    <xf numFmtId="0" fontId="15" fillId="0" borderId="42" xfId="0" applyFont="1" applyFill="1" applyBorder="1" applyProtection="1"/>
    <xf numFmtId="0" fontId="15" fillId="0" borderId="1" xfId="0" applyFont="1" applyBorder="1" applyProtection="1"/>
    <xf numFmtId="0" fontId="15" fillId="0" borderId="1" xfId="0" applyFont="1" applyFill="1" applyBorder="1" applyProtection="1"/>
    <xf numFmtId="0" fontId="15" fillId="0" borderId="11" xfId="0" applyFont="1" applyFill="1" applyBorder="1" applyProtection="1"/>
    <xf numFmtId="0" fontId="12" fillId="0" borderId="0" xfId="0" applyFont="1" applyFill="1" applyBorder="1" applyProtection="1"/>
    <xf numFmtId="0" fontId="15" fillId="0" borderId="0" xfId="0" applyFont="1" applyFill="1" applyBorder="1" applyAlignment="1" applyProtection="1">
      <alignment vertical="top" wrapText="1"/>
    </xf>
    <xf numFmtId="0" fontId="11" fillId="0" borderId="1" xfId="0" applyFont="1" applyFill="1" applyBorder="1" applyProtection="1"/>
    <xf numFmtId="0" fontId="15" fillId="0" borderId="0" xfId="0" applyFont="1" applyAlignment="1" applyProtection="1">
      <alignment vertical="top" wrapText="1"/>
    </xf>
    <xf numFmtId="0" fontId="13" fillId="0" borderId="0" xfId="3" applyFont="1" applyFill="1" applyBorder="1" applyAlignment="1" applyProtection="1">
      <alignment vertical="center" wrapText="1"/>
    </xf>
    <xf numFmtId="0" fontId="13" fillId="0" borderId="0" xfId="12" applyFont="1" applyFill="1" applyBorder="1" applyAlignment="1" applyProtection="1">
      <alignment horizontal="left" vertical="center" wrapText="1"/>
    </xf>
    <xf numFmtId="0" fontId="12" fillId="14" borderId="1" xfId="0" applyFont="1" applyFill="1" applyBorder="1" applyAlignment="1" applyProtection="1">
      <alignment horizontal="center" vertical="center"/>
    </xf>
    <xf numFmtId="0" fontId="12" fillId="14" borderId="1" xfId="0" applyFont="1" applyFill="1" applyBorder="1" applyAlignment="1" applyProtection="1">
      <alignment horizontal="center"/>
    </xf>
    <xf numFmtId="0" fontId="11" fillId="3" borderId="1" xfId="0" applyFont="1" applyFill="1" applyBorder="1" applyAlignment="1" applyProtection="1">
      <alignment horizontal="center" vertical="center"/>
    </xf>
    <xf numFmtId="0" fontId="13" fillId="0" borderId="0" xfId="12" applyFont="1" applyFill="1" applyBorder="1" applyAlignment="1" applyProtection="1">
      <alignment vertical="top" wrapText="1"/>
    </xf>
    <xf numFmtId="0" fontId="12" fillId="0" borderId="0" xfId="0" applyFont="1" applyAlignment="1" applyProtection="1">
      <alignment vertical="top"/>
    </xf>
    <xf numFmtId="0" fontId="11" fillId="0" borderId="0" xfId="0" applyFont="1" applyAlignment="1" applyProtection="1">
      <alignment horizontal="left"/>
    </xf>
    <xf numFmtId="0" fontId="11"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12" fillId="3" borderId="1" xfId="0" applyFont="1" applyFill="1" applyBorder="1" applyAlignment="1" applyProtection="1">
      <alignment horizontal="center"/>
    </xf>
    <xf numFmtId="0" fontId="9" fillId="0" borderId="0" xfId="0" applyFont="1" applyFill="1" applyBorder="1" applyAlignment="1" applyProtection="1">
      <alignment horizontal="center"/>
    </xf>
    <xf numFmtId="3" fontId="15" fillId="3" borderId="18" xfId="0" applyNumberFormat="1" applyFont="1" applyFill="1" applyBorder="1" applyAlignment="1" applyProtection="1">
      <alignment horizontal="center" vertical="center"/>
    </xf>
    <xf numFmtId="3" fontId="15" fillId="3" borderId="1" xfId="0" applyNumberFormat="1" applyFont="1" applyFill="1" applyBorder="1" applyAlignment="1" applyProtection="1">
      <alignment horizontal="center" vertical="center"/>
    </xf>
    <xf numFmtId="0" fontId="12" fillId="2" borderId="14" xfId="0"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12"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xf>
    <xf numFmtId="0" fontId="11" fillId="0" borderId="9" xfId="0" applyFont="1" applyFill="1" applyBorder="1" applyAlignment="1">
      <alignment horizontal="left" vertical="center" wrapText="1"/>
    </xf>
    <xf numFmtId="0" fontId="0" fillId="0" borderId="0" xfId="0" applyProtection="1"/>
    <xf numFmtId="0" fontId="0" fillId="0" borderId="0" xfId="0" applyNumberFormat="1" applyProtection="1">
      <protection locked="0"/>
    </xf>
    <xf numFmtId="0" fontId="7" fillId="20" borderId="1" xfId="0"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protection locked="0"/>
    </xf>
    <xf numFmtId="0" fontId="7" fillId="19" borderId="1" xfId="0" applyFont="1" applyFill="1" applyBorder="1" applyAlignment="1" applyProtection="1">
      <alignment horizontal="center" vertical="center" wrapText="1"/>
    </xf>
    <xf numFmtId="0" fontId="7" fillId="18" borderId="1" xfId="0" applyFont="1" applyFill="1" applyBorder="1" applyAlignment="1" applyProtection="1">
      <alignment horizontal="center" vertical="center" wrapText="1"/>
      <protection locked="0"/>
    </xf>
    <xf numFmtId="0" fontId="7" fillId="21" borderId="1" xfId="0" applyFont="1" applyFill="1" applyBorder="1" applyAlignment="1" applyProtection="1">
      <alignment horizontal="center" vertical="center" wrapText="1"/>
      <protection locked="0"/>
    </xf>
    <xf numFmtId="0" fontId="7" fillId="18" borderId="1"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pplyProtection="1">
      <alignment horizontal="center" vertical="center" wrapText="1"/>
      <protection locked="0"/>
    </xf>
    <xf numFmtId="0" fontId="6" fillId="0" borderId="0" xfId="0" applyFont="1" applyAlignment="1" applyProtection="1"/>
    <xf numFmtId="0" fontId="6" fillId="0" borderId="0" xfId="0" applyFont="1" applyProtection="1"/>
    <xf numFmtId="0" fontId="6" fillId="0" borderId="66" xfId="0" applyFont="1" applyBorder="1" applyAlignment="1" applyProtection="1">
      <alignment horizontal="left" wrapText="1"/>
      <protection locked="0"/>
    </xf>
    <xf numFmtId="0" fontId="11" fillId="0" borderId="0" xfId="0" applyFont="1" applyFill="1" applyAlignment="1" applyProtection="1">
      <alignment vertical="center" wrapText="1"/>
    </xf>
    <xf numFmtId="8" fontId="11" fillId="3" borderId="1" xfId="0" applyNumberFormat="1" applyFont="1" applyFill="1" applyBorder="1" applyAlignment="1" applyProtection="1">
      <alignment horizontal="center" vertical="center"/>
    </xf>
    <xf numFmtId="3" fontId="15" fillId="6" borderId="1" xfId="0" applyNumberFormat="1" applyFont="1" applyFill="1" applyBorder="1" applyAlignment="1" applyProtection="1">
      <alignment horizontal="center" vertical="center" wrapText="1"/>
      <protection locked="0"/>
    </xf>
    <xf numFmtId="3" fontId="15" fillId="6" borderId="18"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1" fillId="0" borderId="5" xfId="0" applyFont="1" applyFill="1" applyBorder="1" applyAlignment="1">
      <alignment horizontal="left" vertical="top" wrapText="1"/>
    </xf>
    <xf numFmtId="0" fontId="11" fillId="3" borderId="21" xfId="8" applyFont="1" applyFill="1" applyBorder="1" applyAlignment="1">
      <alignment vertical="center"/>
    </xf>
    <xf numFmtId="0" fontId="35" fillId="0" borderId="0" xfId="0" applyFont="1" applyFill="1" applyBorder="1" applyAlignment="1" applyProtection="1">
      <alignment horizontal="center" vertical="center"/>
    </xf>
    <xf numFmtId="0" fontId="12" fillId="2" borderId="10" xfId="0" applyFont="1" applyFill="1" applyBorder="1" applyAlignment="1" applyProtection="1">
      <alignment horizontal="left"/>
    </xf>
    <xf numFmtId="0" fontId="11"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top" wrapText="1"/>
    </xf>
    <xf numFmtId="0" fontId="15" fillId="2" borderId="10" xfId="0" applyFont="1" applyFill="1" applyBorder="1" applyAlignment="1" applyProtection="1">
      <alignment horizontal="left" vertical="center" wrapText="1"/>
    </xf>
    <xf numFmtId="0" fontId="12" fillId="14" borderId="1" xfId="0" applyFont="1" applyFill="1" applyBorder="1" applyAlignment="1" applyProtection="1">
      <alignment horizontal="center" vertical="center"/>
    </xf>
    <xf numFmtId="0" fontId="11" fillId="2" borderId="1" xfId="12" applyFont="1" applyFill="1" applyBorder="1" applyAlignment="1" applyProtection="1">
      <alignment horizontal="left" vertical="center" wrapText="1"/>
    </xf>
    <xf numFmtId="0" fontId="14" fillId="3" borderId="10" xfId="0" applyFont="1" applyFill="1" applyBorder="1" applyAlignment="1" applyProtection="1">
      <alignment horizontal="right" vertical="center"/>
    </xf>
    <xf numFmtId="0" fontId="11" fillId="3" borderId="1" xfId="0" applyFont="1" applyFill="1" applyBorder="1" applyAlignment="1" applyProtection="1">
      <alignment horizontal="right" vertical="center"/>
    </xf>
    <xf numFmtId="0" fontId="36" fillId="0" borderId="0" xfId="0" applyFont="1" applyFill="1" applyBorder="1" applyAlignment="1">
      <alignment horizontal="center" vertical="center"/>
    </xf>
    <xf numFmtId="0" fontId="11" fillId="3" borderId="10" xfId="0" applyFont="1" applyFill="1" applyBorder="1" applyAlignment="1" applyProtection="1">
      <alignment horizontal="right" vertical="center"/>
    </xf>
    <xf numFmtId="3" fontId="15" fillId="3" borderId="19" xfId="0" applyNumberFormat="1" applyFont="1" applyFill="1" applyBorder="1" applyAlignment="1" applyProtection="1">
      <alignment horizontal="center" vertical="center"/>
    </xf>
    <xf numFmtId="0" fontId="13" fillId="0" borderId="5" xfId="3" applyFont="1" applyBorder="1" applyAlignment="1" applyProtection="1">
      <alignment horizontal="left"/>
    </xf>
    <xf numFmtId="0" fontId="15" fillId="0" borderId="35" xfId="0" applyFont="1" applyFill="1" applyBorder="1" applyProtection="1"/>
    <xf numFmtId="0" fontId="15" fillId="0" borderId="36" xfId="0" applyFont="1" applyFill="1" applyBorder="1" applyAlignment="1" applyProtection="1">
      <alignment horizontal="center"/>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15" fillId="0" borderId="37" xfId="0" applyFont="1" applyFill="1" applyBorder="1" applyAlignment="1" applyProtection="1">
      <alignment horizontal="center" vertical="center" wrapText="1"/>
    </xf>
    <xf numFmtId="0" fontId="15" fillId="0" borderId="38"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9" fillId="0" borderId="0" xfId="0" applyFont="1" applyFill="1" applyBorder="1" applyAlignment="1" applyProtection="1"/>
    <xf numFmtId="0" fontId="10"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10" fillId="0" borderId="0" xfId="0" applyFont="1" applyFill="1" applyBorder="1" applyAlignment="1">
      <alignment vertical="center"/>
    </xf>
    <xf numFmtId="0" fontId="35" fillId="0" borderId="0" xfId="0" applyFont="1" applyFill="1" applyBorder="1" applyAlignment="1">
      <alignment vertical="center"/>
    </xf>
    <xf numFmtId="0" fontId="15" fillId="3" borderId="10" xfId="0" applyFont="1" applyFill="1" applyBorder="1" applyAlignment="1">
      <alignment horizontal="right"/>
    </xf>
    <xf numFmtId="0" fontId="11" fillId="3" borderId="10" xfId="0" applyFont="1" applyFill="1" applyBorder="1" applyAlignment="1">
      <alignment horizontal="right" vertical="center"/>
    </xf>
    <xf numFmtId="0" fontId="15" fillId="3" borderId="10"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36" fillId="0" borderId="0" xfId="0" applyFont="1" applyFill="1" applyBorder="1" applyAlignment="1">
      <alignment vertical="center"/>
    </xf>
    <xf numFmtId="0" fontId="27" fillId="0" borderId="0" xfId="0" applyFont="1" applyFill="1" applyBorder="1" applyAlignment="1">
      <alignment vertical="center"/>
    </xf>
    <xf numFmtId="0" fontId="22" fillId="0" borderId="0" xfId="0" applyFont="1" applyFill="1" applyBorder="1" applyAlignment="1">
      <alignment vertical="center"/>
    </xf>
    <xf numFmtId="0" fontId="11" fillId="2" borderId="10" xfId="0" applyFont="1" applyFill="1" applyBorder="1" applyAlignment="1" applyProtection="1">
      <alignment vertical="center"/>
    </xf>
    <xf numFmtId="0" fontId="13" fillId="0" borderId="47" xfId="3" applyFont="1" applyFill="1" applyBorder="1" applyAlignment="1" applyProtection="1">
      <alignment vertical="top" wrapText="1"/>
    </xf>
    <xf numFmtId="0" fontId="13" fillId="0" borderId="42" xfId="3" applyFont="1" applyFill="1" applyBorder="1" applyAlignment="1" applyProtection="1">
      <alignment vertical="top" wrapText="1"/>
    </xf>
    <xf numFmtId="0" fontId="13" fillId="0" borderId="46" xfId="3" applyFont="1" applyFill="1" applyBorder="1" applyAlignment="1" applyProtection="1">
      <alignment vertical="top"/>
    </xf>
    <xf numFmtId="0" fontId="38" fillId="0" borderId="0" xfId="0" applyFont="1" applyFill="1" applyBorder="1" applyAlignment="1"/>
    <xf numFmtId="0" fontId="11" fillId="0" borderId="0" xfId="0" applyFont="1" applyFill="1" applyBorder="1" applyAlignment="1">
      <alignment horizontal="left" vertical="center"/>
    </xf>
    <xf numFmtId="0" fontId="26" fillId="0" borderId="0" xfId="0" applyFont="1" applyFill="1" applyBorder="1" applyAlignment="1"/>
    <xf numFmtId="0" fontId="12" fillId="10" borderId="33" xfId="0" applyFont="1" applyFill="1" applyBorder="1" applyAlignment="1" applyProtection="1">
      <alignment horizontal="centerContinuous"/>
    </xf>
    <xf numFmtId="0" fontId="12" fillId="10" borderId="34" xfId="0" applyFont="1" applyFill="1" applyBorder="1" applyAlignment="1" applyProtection="1">
      <alignment horizontal="centerContinuous"/>
    </xf>
    <xf numFmtId="0" fontId="12" fillId="10" borderId="32" xfId="0" applyFont="1" applyFill="1" applyBorder="1" applyAlignment="1" applyProtection="1">
      <alignment horizontal="centerContinuous"/>
    </xf>
    <xf numFmtId="0" fontId="13" fillId="0" borderId="0" xfId="3" applyFont="1" applyBorder="1" applyAlignment="1" applyProtection="1"/>
    <xf numFmtId="0" fontId="13" fillId="0" borderId="6" xfId="3" applyFont="1" applyBorder="1" applyAlignment="1" applyProtection="1"/>
    <xf numFmtId="0" fontId="15" fillId="0" borderId="5" xfId="0" applyFont="1" applyBorder="1" applyAlignment="1" applyProtection="1"/>
    <xf numFmtId="0" fontId="15" fillId="0" borderId="0" xfId="0" applyFont="1" applyBorder="1" applyAlignment="1" applyProtection="1"/>
    <xf numFmtId="0" fontId="15" fillId="0" borderId="6" xfId="0" applyFont="1" applyBorder="1" applyAlignment="1" applyProtection="1"/>
    <xf numFmtId="0" fontId="13" fillId="0" borderId="7" xfId="12" applyFont="1" applyBorder="1" applyAlignment="1" applyProtection="1"/>
    <xf numFmtId="0" fontId="13" fillId="0" borderId="8" xfId="12" applyFont="1" applyBorder="1" applyAlignment="1" applyProtection="1"/>
    <xf numFmtId="0" fontId="12" fillId="11" borderId="29" xfId="0" applyFont="1" applyFill="1" applyBorder="1" applyAlignment="1" applyProtection="1">
      <alignment horizontal="centerContinuous"/>
    </xf>
    <xf numFmtId="0" fontId="12" fillId="11" borderId="30" xfId="0" applyFont="1" applyFill="1" applyBorder="1" applyAlignment="1" applyProtection="1">
      <alignment horizontal="centerContinuous"/>
    </xf>
    <xf numFmtId="0" fontId="12" fillId="11" borderId="31" xfId="0" applyFont="1" applyFill="1" applyBorder="1" applyAlignment="1" applyProtection="1">
      <alignment horizontal="centerContinuous"/>
    </xf>
    <xf numFmtId="0" fontId="12" fillId="15" borderId="29" xfId="0" applyFont="1" applyFill="1" applyBorder="1" applyAlignment="1" applyProtection="1">
      <alignment horizontal="centerContinuous"/>
    </xf>
    <xf numFmtId="0" fontId="12" fillId="15" borderId="30" xfId="0" applyFont="1" applyFill="1" applyBorder="1" applyAlignment="1" applyProtection="1">
      <alignment horizontal="centerContinuous"/>
    </xf>
    <xf numFmtId="0" fontId="12" fillId="15" borderId="31" xfId="0" applyFont="1" applyFill="1" applyBorder="1" applyAlignment="1" applyProtection="1">
      <alignment horizontal="centerContinuous"/>
    </xf>
    <xf numFmtId="0" fontId="15" fillId="0" borderId="10" xfId="0" applyFont="1" applyFill="1" applyBorder="1" applyAlignment="1" applyProtection="1"/>
    <xf numFmtId="0" fontId="15" fillId="0" borderId="20" xfId="0" applyFont="1" applyFill="1" applyBorder="1" applyAlignment="1" applyProtection="1"/>
    <xf numFmtId="0" fontId="12" fillId="2" borderId="12" xfId="0" applyFont="1" applyFill="1" applyBorder="1" applyAlignment="1" applyProtection="1">
      <alignment horizontal="centerContinuous" vertical="center"/>
    </xf>
    <xf numFmtId="0" fontId="12" fillId="2" borderId="13" xfId="0" applyFont="1" applyFill="1" applyBorder="1" applyAlignment="1" applyProtection="1">
      <alignment horizontal="centerContinuous" vertical="center"/>
    </xf>
    <xf numFmtId="0" fontId="12" fillId="2" borderId="14" xfId="0" applyFont="1" applyFill="1" applyBorder="1" applyAlignment="1" applyProtection="1">
      <alignment horizontal="centerContinuous" vertical="center"/>
    </xf>
    <xf numFmtId="0" fontId="15" fillId="0" borderId="5" xfId="0" applyFont="1" applyBorder="1" applyAlignment="1" applyProtection="1">
      <alignment vertical="center"/>
    </xf>
    <xf numFmtId="0" fontId="15" fillId="0" borderId="0" xfId="0" applyFont="1" applyBorder="1" applyAlignment="1" applyProtection="1">
      <alignment vertical="center"/>
    </xf>
    <xf numFmtId="0" fontId="15" fillId="0" borderId="6" xfId="0" applyFont="1" applyBorder="1" applyAlignment="1" applyProtection="1">
      <alignment vertical="center"/>
    </xf>
    <xf numFmtId="0" fontId="13" fillId="0" borderId="7" xfId="12" applyFont="1" applyBorder="1" applyAlignment="1" applyProtection="1">
      <alignment vertical="center"/>
    </xf>
    <xf numFmtId="0" fontId="15" fillId="0" borderId="8" xfId="0" applyFont="1" applyBorder="1" applyAlignment="1" applyProtection="1">
      <alignment vertical="center"/>
    </xf>
    <xf numFmtId="0" fontId="15" fillId="0" borderId="9" xfId="0" applyFont="1" applyBorder="1" applyAlignment="1" applyProtection="1">
      <alignment vertical="center"/>
    </xf>
    <xf numFmtId="0" fontId="12" fillId="7" borderId="33" xfId="0" applyFont="1" applyFill="1" applyBorder="1" applyAlignment="1" applyProtection="1"/>
    <xf numFmtId="0" fontId="12" fillId="7" borderId="34" xfId="0" applyFont="1" applyFill="1" applyBorder="1" applyAlignment="1" applyProtection="1"/>
    <xf numFmtId="0" fontId="12" fillId="7" borderId="32" xfId="0" applyFont="1" applyFill="1" applyBorder="1" applyAlignment="1" applyProtection="1"/>
    <xf numFmtId="0" fontId="11" fillId="0" borderId="63" xfId="0" applyFont="1" applyFill="1" applyBorder="1" applyAlignment="1">
      <alignment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62" xfId="0" applyFont="1" applyFill="1" applyBorder="1" applyAlignment="1">
      <alignment vertical="center"/>
    </xf>
    <xf numFmtId="0" fontId="11" fillId="0" borderId="8" xfId="0" applyFont="1" applyFill="1" applyBorder="1" applyAlignment="1">
      <alignment horizontal="left" vertical="center"/>
    </xf>
    <xf numFmtId="0" fontId="14" fillId="3" borderId="22" xfId="0" applyFont="1" applyFill="1" applyBorder="1" applyAlignment="1">
      <alignment horizontal="centerContinuous" vertical="top"/>
    </xf>
    <xf numFmtId="0" fontId="14" fillId="3" borderId="55" xfId="0" applyFont="1" applyFill="1" applyBorder="1" applyAlignment="1">
      <alignment horizontal="centerContinuous" vertical="top"/>
    </xf>
    <xf numFmtId="0" fontId="14" fillId="3" borderId="23" xfId="0" applyFont="1" applyFill="1" applyBorder="1" applyAlignment="1">
      <alignment horizontal="centerContinuous" vertical="top"/>
    </xf>
    <xf numFmtId="0" fontId="15" fillId="22" borderId="60" xfId="0" applyFont="1" applyFill="1" applyBorder="1"/>
    <xf numFmtId="0" fontId="0" fillId="22" borderId="53" xfId="0" applyFill="1" applyBorder="1"/>
    <xf numFmtId="0" fontId="0" fillId="22" borderId="59" xfId="0" applyFill="1" applyBorder="1"/>
    <xf numFmtId="0" fontId="13" fillId="22" borderId="46" xfId="3" applyFont="1" applyFill="1" applyBorder="1" applyAlignment="1" applyProtection="1">
      <alignment vertical="center"/>
      <protection locked="0"/>
    </xf>
    <xf numFmtId="0" fontId="13" fillId="22" borderId="47" xfId="3" applyFill="1" applyBorder="1" applyAlignment="1" applyProtection="1">
      <alignment vertical="center" wrapText="1"/>
      <protection locked="0"/>
    </xf>
    <xf numFmtId="0" fontId="13" fillId="22" borderId="42" xfId="3" applyFill="1" applyBorder="1" applyAlignment="1" applyProtection="1">
      <alignment vertical="center" wrapText="1"/>
      <protection locked="0"/>
    </xf>
    <xf numFmtId="3" fontId="12" fillId="2" borderId="25" xfId="7" applyNumberFormat="1" applyFont="1" applyFill="1" applyBorder="1" applyAlignment="1" applyProtection="1">
      <alignment horizontal="center" vertical="center"/>
    </xf>
    <xf numFmtId="172" fontId="11" fillId="3" borderId="10" xfId="7" applyNumberFormat="1" applyFont="1" applyFill="1" applyBorder="1" applyAlignment="1" applyProtection="1">
      <alignment horizontal="centerContinuous" vertical="center"/>
    </xf>
    <xf numFmtId="172" fontId="11" fillId="3" borderId="20" xfId="7" applyNumberFormat="1" applyFont="1" applyFill="1" applyBorder="1" applyAlignment="1" applyProtection="1">
      <alignment horizontal="centerContinuous" vertical="center"/>
    </xf>
    <xf numFmtId="172" fontId="11" fillId="3" borderId="11" xfId="7" applyNumberFormat="1" applyFont="1" applyFill="1" applyBorder="1" applyAlignment="1" applyProtection="1">
      <alignment horizontal="centerContinuous" vertical="center"/>
    </xf>
    <xf numFmtId="3" fontId="11" fillId="3" borderId="46" xfId="7" applyNumberFormat="1" applyFont="1" applyFill="1" applyBorder="1" applyAlignment="1" applyProtection="1">
      <alignment horizontal="centerContinuous" vertical="center"/>
    </xf>
    <xf numFmtId="3" fontId="11" fillId="3" borderId="47" xfId="7" applyNumberFormat="1" applyFont="1" applyFill="1" applyBorder="1" applyAlignment="1" applyProtection="1">
      <alignment horizontal="centerContinuous" vertical="center"/>
    </xf>
    <xf numFmtId="3" fontId="11" fillId="3" borderId="42" xfId="7" applyNumberFormat="1" applyFont="1" applyFill="1" applyBorder="1" applyAlignment="1" applyProtection="1">
      <alignment horizontal="centerContinuous" vertical="center"/>
    </xf>
    <xf numFmtId="0" fontId="11" fillId="3" borderId="46" xfId="0" applyFont="1" applyFill="1" applyBorder="1" applyAlignment="1" applyProtection="1">
      <alignment horizontal="right" vertical="center"/>
    </xf>
    <xf numFmtId="0" fontId="11" fillId="2" borderId="53" xfId="0" applyFont="1" applyFill="1" applyBorder="1" applyAlignment="1" applyProtection="1">
      <alignment vertical="center"/>
    </xf>
    <xf numFmtId="0" fontId="11" fillId="2" borderId="59" xfId="0" applyFont="1" applyFill="1" applyBorder="1" applyAlignment="1" applyProtection="1">
      <alignment horizontal="right" vertical="center"/>
    </xf>
    <xf numFmtId="172" fontId="11" fillId="3" borderId="46" xfId="7" applyNumberFormat="1" applyFont="1" applyFill="1" applyBorder="1" applyAlignment="1" applyProtection="1">
      <alignment horizontal="centerContinuous" vertical="center"/>
    </xf>
    <xf numFmtId="172" fontId="11" fillId="3" borderId="47" xfId="7" applyNumberFormat="1" applyFont="1" applyFill="1" applyBorder="1" applyAlignment="1" applyProtection="1">
      <alignment horizontal="centerContinuous" vertical="center"/>
    </xf>
    <xf numFmtId="172" fontId="11" fillId="3" borderId="42" xfId="7" applyNumberFormat="1" applyFont="1" applyFill="1" applyBorder="1" applyAlignment="1" applyProtection="1">
      <alignment horizontal="centerContinuous" vertical="center"/>
    </xf>
    <xf numFmtId="0" fontId="12" fillId="7" borderId="1" xfId="0" applyFont="1" applyFill="1" applyBorder="1" applyAlignment="1" applyProtection="1">
      <alignment horizontal="centerContinuous" vertical="center" wrapText="1"/>
    </xf>
    <xf numFmtId="0" fontId="12" fillId="7" borderId="1" xfId="0" applyFont="1" applyFill="1" applyBorder="1" applyAlignment="1" applyProtection="1">
      <alignment horizontal="centerContinuous" vertical="center"/>
    </xf>
    <xf numFmtId="0" fontId="12" fillId="7" borderId="1" xfId="0" applyFont="1" applyFill="1" applyBorder="1" applyAlignment="1" applyProtection="1">
      <alignment horizontal="centerContinuous"/>
    </xf>
    <xf numFmtId="0" fontId="11" fillId="0" borderId="6" xfId="0" applyFont="1" applyFill="1" applyBorder="1" applyAlignment="1">
      <alignment vertical="top"/>
    </xf>
    <xf numFmtId="0" fontId="11" fillId="0" borderId="9" xfId="0" applyFont="1" applyFill="1" applyBorder="1" applyAlignment="1">
      <alignment vertical="top"/>
    </xf>
    <xf numFmtId="0" fontId="11" fillId="6" borderId="5" xfId="0" applyFont="1" applyFill="1" applyBorder="1" applyAlignment="1">
      <alignment vertical="top"/>
    </xf>
    <xf numFmtId="0" fontId="11" fillId="5" borderId="5" xfId="0" applyFont="1" applyFill="1" applyBorder="1" applyAlignment="1">
      <alignment vertical="top"/>
    </xf>
    <xf numFmtId="0" fontId="11" fillId="3" borderId="5" xfId="0" applyFont="1" applyFill="1" applyBorder="1" applyAlignment="1">
      <alignment vertical="top"/>
    </xf>
    <xf numFmtId="0" fontId="11" fillId="8" borderId="5" xfId="0" applyFont="1" applyFill="1" applyBorder="1" applyAlignment="1">
      <alignment vertical="top"/>
    </xf>
    <xf numFmtId="0" fontId="17" fillId="9" borderId="7" xfId="0" applyFont="1" applyFill="1" applyBorder="1" applyAlignment="1">
      <alignment vertical="top"/>
    </xf>
    <xf numFmtId="0" fontId="11" fillId="3" borderId="42" xfId="8" applyFont="1" applyFill="1" applyBorder="1" applyAlignment="1">
      <alignment vertical="center"/>
    </xf>
    <xf numFmtId="0" fontId="11" fillId="3" borderId="33" xfId="8" applyFont="1" applyFill="1" applyBorder="1" applyAlignment="1">
      <alignment vertical="center"/>
    </xf>
    <xf numFmtId="0" fontId="15" fillId="6" borderId="32" xfId="8" applyFont="1" applyFill="1" applyBorder="1" applyAlignment="1" applyProtection="1">
      <alignment horizontal="center" vertical="center"/>
      <protection locked="0"/>
    </xf>
    <xf numFmtId="0" fontId="11" fillId="3" borderId="57" xfId="8" applyFont="1" applyFill="1" applyBorder="1" applyAlignment="1">
      <alignment vertical="center"/>
    </xf>
    <xf numFmtId="0" fontId="19" fillId="3" borderId="45" xfId="8" applyFont="1" applyFill="1" applyBorder="1" applyAlignment="1" applyProtection="1">
      <alignment horizontal="center" vertical="center"/>
      <protection locked="0"/>
    </xf>
    <xf numFmtId="0" fontId="15" fillId="6" borderId="45" xfId="8" applyFont="1" applyFill="1" applyBorder="1" applyAlignment="1" applyProtection="1">
      <alignment horizontal="center" vertical="center"/>
      <protection locked="0"/>
    </xf>
    <xf numFmtId="174" fontId="15" fillId="6" borderId="45" xfId="8" applyNumberFormat="1" applyFont="1" applyFill="1" applyBorder="1" applyAlignment="1" applyProtection="1">
      <alignment horizontal="center" vertical="center"/>
      <protection locked="0"/>
    </xf>
    <xf numFmtId="14" fontId="21" fillId="6" borderId="45" xfId="3" applyNumberFormat="1" applyFont="1" applyFill="1" applyBorder="1" applyAlignment="1" applyProtection="1">
      <alignment horizontal="center" vertical="center"/>
      <protection locked="0"/>
    </xf>
    <xf numFmtId="14" fontId="15" fillId="6" borderId="45" xfId="8" applyNumberFormat="1" applyFont="1" applyFill="1" applyBorder="1" applyAlignment="1" applyProtection="1">
      <alignment horizontal="center" vertical="center"/>
      <protection locked="0"/>
    </xf>
    <xf numFmtId="165" fontId="15" fillId="6" borderId="45" xfId="7" applyNumberFormat="1" applyFont="1" applyFill="1" applyBorder="1" applyAlignment="1" applyProtection="1">
      <alignment horizontal="center" vertical="center"/>
      <protection locked="0"/>
    </xf>
    <xf numFmtId="0" fontId="15" fillId="3" borderId="7" xfId="0" applyFont="1" applyFill="1" applyBorder="1" applyAlignment="1">
      <alignment vertical="center"/>
    </xf>
    <xf numFmtId="0" fontId="15" fillId="3" borderId="68" xfId="0" applyFont="1" applyFill="1" applyBorder="1" applyAlignment="1">
      <alignment vertical="center"/>
    </xf>
    <xf numFmtId="0" fontId="11" fillId="0" borderId="0" xfId="3" applyFont="1" applyFill="1" applyBorder="1" applyAlignment="1">
      <alignment vertical="top" wrapText="1"/>
    </xf>
    <xf numFmtId="0" fontId="11" fillId="0" borderId="0" xfId="3" applyFont="1" applyFill="1" applyBorder="1" applyAlignment="1">
      <alignment vertical="top"/>
    </xf>
    <xf numFmtId="0" fontId="13" fillId="0" borderId="5" xfId="3" applyFont="1" applyFill="1" applyBorder="1" applyAlignment="1">
      <alignment vertical="top"/>
    </xf>
    <xf numFmtId="0" fontId="13" fillId="0" borderId="0" xfId="3" applyFont="1" applyFill="1" applyBorder="1" applyAlignment="1">
      <alignment vertical="top"/>
    </xf>
    <xf numFmtId="0" fontId="13" fillId="0" borderId="6" xfId="3" applyFont="1" applyFill="1" applyBorder="1" applyAlignment="1">
      <alignment vertical="top"/>
    </xf>
    <xf numFmtId="0" fontId="11" fillId="0" borderId="5" xfId="8" applyFont="1" applyFill="1" applyBorder="1" applyAlignment="1"/>
    <xf numFmtId="0" fontId="11" fillId="0" borderId="0" xfId="8" applyFont="1" applyFill="1" applyBorder="1" applyAlignment="1"/>
    <xf numFmtId="0" fontId="11" fillId="0" borderId="5" xfId="3" applyFont="1" applyFill="1" applyBorder="1" applyAlignment="1">
      <alignment vertical="top"/>
    </xf>
    <xf numFmtId="0" fontId="11" fillId="0" borderId="6" xfId="3" applyFont="1" applyFill="1" applyBorder="1" applyAlignment="1">
      <alignment vertical="top"/>
    </xf>
    <xf numFmtId="0" fontId="11" fillId="0" borderId="0" xfId="0" applyFont="1" applyAlignment="1">
      <alignment vertical="top"/>
    </xf>
    <xf numFmtId="0" fontId="13" fillId="22" borderId="47" xfId="3" applyFont="1" applyFill="1" applyBorder="1" applyAlignment="1" applyProtection="1">
      <alignment vertical="center" wrapText="1"/>
      <protection locked="0"/>
    </xf>
    <xf numFmtId="0" fontId="13" fillId="22" borderId="42" xfId="3" applyFont="1" applyFill="1" applyBorder="1" applyAlignment="1" applyProtection="1">
      <alignment vertical="center" wrapText="1"/>
      <protection locked="0"/>
    </xf>
    <xf numFmtId="0" fontId="15" fillId="22" borderId="53" xfId="0" applyFont="1" applyFill="1" applyBorder="1"/>
    <xf numFmtId="0" fontId="15" fillId="22" borderId="59" xfId="0" applyFont="1" applyFill="1" applyBorder="1"/>
    <xf numFmtId="3" fontId="15" fillId="0" borderId="0" xfId="0" applyNumberFormat="1" applyFont="1" applyFill="1" applyBorder="1" applyAlignment="1">
      <alignment vertical="top" wrapText="1"/>
    </xf>
    <xf numFmtId="0" fontId="39" fillId="0" borderId="15" xfId="0" applyFont="1" applyFill="1" applyBorder="1" applyProtection="1"/>
    <xf numFmtId="0" fontId="15" fillId="0" borderId="10" xfId="0" applyFont="1" applyFill="1" applyBorder="1" applyAlignment="1" applyProtection="1">
      <alignment horizontal="center"/>
    </xf>
    <xf numFmtId="0" fontId="15" fillId="0" borderId="46" xfId="0" applyFont="1" applyFill="1" applyBorder="1" applyAlignment="1" applyProtection="1"/>
    <xf numFmtId="0" fontId="15" fillId="0" borderId="47" xfId="0" applyFont="1" applyFill="1" applyBorder="1" applyAlignment="1" applyProtection="1"/>
    <xf numFmtId="0" fontId="12" fillId="0" borderId="12" xfId="0" applyFont="1" applyFill="1" applyBorder="1" applyProtection="1"/>
    <xf numFmtId="0" fontId="12" fillId="0" borderId="13" xfId="0" applyFont="1" applyFill="1" applyBorder="1" applyAlignment="1" applyProtection="1">
      <alignment horizontal="center" wrapText="1"/>
    </xf>
    <xf numFmtId="0" fontId="12" fillId="0" borderId="13" xfId="0" applyFont="1" applyFill="1" applyBorder="1" applyAlignment="1" applyProtection="1">
      <alignment horizontal="center"/>
    </xf>
    <xf numFmtId="0" fontId="12" fillId="0" borderId="69" xfId="0" applyFont="1" applyFill="1" applyBorder="1" applyAlignment="1" applyProtection="1">
      <alignment horizontal="centerContinuous"/>
    </xf>
    <xf numFmtId="0" fontId="12" fillId="0" borderId="70" xfId="0" applyFont="1" applyFill="1" applyBorder="1" applyAlignment="1" applyProtection="1">
      <alignment horizontal="centerContinuous"/>
    </xf>
    <xf numFmtId="0" fontId="15" fillId="0" borderId="50" xfId="0" applyFont="1" applyFill="1" applyBorder="1" applyAlignment="1" applyProtection="1">
      <alignment horizontal="center"/>
    </xf>
    <xf numFmtId="0" fontId="15" fillId="0" borderId="71" xfId="0" applyFont="1" applyFill="1" applyBorder="1" applyAlignment="1" applyProtection="1"/>
    <xf numFmtId="0" fontId="15" fillId="0" borderId="8" xfId="0" applyFont="1" applyBorder="1" applyAlignment="1" applyProtection="1">
      <alignment horizontal="center"/>
    </xf>
    <xf numFmtId="0" fontId="15" fillId="0" borderId="52" xfId="0" applyFont="1" applyBorder="1" applyAlignment="1" applyProtection="1">
      <alignment vertical="top"/>
    </xf>
    <xf numFmtId="0" fontId="15" fillId="0" borderId="53" xfId="0" applyFont="1" applyBorder="1" applyAlignment="1" applyProtection="1">
      <alignment vertical="top"/>
    </xf>
    <xf numFmtId="0" fontId="15" fillId="0" borderId="54" xfId="0" applyFont="1" applyBorder="1" applyAlignment="1" applyProtection="1">
      <alignment vertical="top"/>
    </xf>
    <xf numFmtId="0" fontId="15" fillId="0" borderId="5" xfId="0" applyFont="1" applyBorder="1" applyAlignment="1" applyProtection="1">
      <alignment vertical="top"/>
    </xf>
    <xf numFmtId="0" fontId="15" fillId="0" borderId="0" xfId="0" applyFont="1" applyBorder="1" applyAlignment="1" applyProtection="1">
      <alignment vertical="top"/>
    </xf>
    <xf numFmtId="0" fontId="15" fillId="0" borderId="6" xfId="0" applyFont="1" applyBorder="1" applyAlignment="1" applyProtection="1">
      <alignment vertical="top"/>
    </xf>
    <xf numFmtId="0" fontId="12" fillId="0" borderId="37" xfId="0" applyFont="1" applyFill="1" applyBorder="1" applyProtection="1"/>
    <xf numFmtId="0" fontId="12" fillId="0" borderId="69" xfId="0" applyFont="1" applyFill="1" applyBorder="1" applyAlignment="1" applyProtection="1">
      <alignment horizontal="center" wrapText="1"/>
    </xf>
    <xf numFmtId="0" fontId="12" fillId="0" borderId="69" xfId="0" applyFont="1" applyFill="1" applyBorder="1" applyAlignment="1" applyProtection="1">
      <alignment horizontal="center"/>
    </xf>
    <xf numFmtId="0" fontId="15" fillId="0" borderId="40" xfId="0" applyFont="1" applyFill="1" applyBorder="1" applyAlignment="1" applyProtection="1">
      <alignment vertical="center" wrapText="1"/>
    </xf>
    <xf numFmtId="0" fontId="33" fillId="3" borderId="5" xfId="0" applyFont="1" applyFill="1" applyBorder="1" applyAlignment="1" applyProtection="1">
      <alignment vertical="center"/>
    </xf>
    <xf numFmtId="0" fontId="33" fillId="3" borderId="0" xfId="0" applyFont="1" applyFill="1" applyBorder="1" applyAlignment="1" applyProtection="1">
      <alignment vertical="center"/>
    </xf>
    <xf numFmtId="0" fontId="33" fillId="3" borderId="6" xfId="0" applyFont="1" applyFill="1" applyBorder="1" applyAlignment="1" applyProtection="1">
      <alignment vertical="center"/>
    </xf>
    <xf numFmtId="0" fontId="33" fillId="3" borderId="7" xfId="0" applyFont="1" applyFill="1" applyBorder="1" applyAlignment="1" applyProtection="1">
      <alignment vertical="center"/>
    </xf>
    <xf numFmtId="0" fontId="33" fillId="3" borderId="8" xfId="0" applyFont="1" applyFill="1" applyBorder="1" applyAlignment="1" applyProtection="1">
      <alignment vertical="center"/>
    </xf>
    <xf numFmtId="0" fontId="33" fillId="3" borderId="9" xfId="0" applyFont="1" applyFill="1" applyBorder="1" applyAlignment="1" applyProtection="1">
      <alignment vertical="center"/>
    </xf>
    <xf numFmtId="0" fontId="33" fillId="3" borderId="2" xfId="0" applyFont="1" applyFill="1" applyBorder="1" applyAlignment="1" applyProtection="1">
      <alignment vertical="center"/>
    </xf>
    <xf numFmtId="0" fontId="33" fillId="3" borderId="3" xfId="0" applyFont="1" applyFill="1" applyBorder="1" applyAlignment="1" applyProtection="1">
      <alignment vertical="center"/>
    </xf>
    <xf numFmtId="0" fontId="33" fillId="3" borderId="4" xfId="0" applyFont="1" applyFill="1" applyBorder="1" applyAlignment="1" applyProtection="1">
      <alignment vertical="center"/>
    </xf>
    <xf numFmtId="0" fontId="22" fillId="7" borderId="10" xfId="0" applyFont="1" applyFill="1" applyBorder="1" applyAlignment="1">
      <alignment horizontal="centerContinuous"/>
    </xf>
    <xf numFmtId="0" fontId="22" fillId="7" borderId="20" xfId="0" applyFont="1" applyFill="1" applyBorder="1" applyAlignment="1">
      <alignment horizontal="centerContinuous"/>
    </xf>
    <xf numFmtId="0" fontId="22" fillId="0" borderId="0" xfId="0" applyFont="1" applyFill="1" applyBorder="1" applyAlignment="1">
      <alignment vertical="top"/>
    </xf>
    <xf numFmtId="0" fontId="15" fillId="0" borderId="0" xfId="0" applyFont="1" applyAlignment="1">
      <alignment vertical="top"/>
    </xf>
    <xf numFmtId="0" fontId="11" fillId="0" borderId="2" xfId="0" applyFont="1" applyFill="1" applyBorder="1" applyAlignment="1">
      <alignment vertical="top"/>
    </xf>
    <xf numFmtId="0" fontId="11" fillId="0" borderId="3" xfId="0" applyFont="1" applyFill="1" applyBorder="1" applyAlignment="1">
      <alignment vertical="top"/>
    </xf>
    <xf numFmtId="0" fontId="11" fillId="0" borderId="4" xfId="0" applyFont="1" applyFill="1" applyBorder="1" applyAlignment="1">
      <alignment vertical="top"/>
    </xf>
    <xf numFmtId="0" fontId="11" fillId="0" borderId="5" xfId="0" applyFont="1" applyFill="1" applyBorder="1" applyAlignment="1">
      <alignment vertical="top"/>
    </xf>
    <xf numFmtId="0" fontId="11" fillId="0" borderId="0" xfId="0" applyFont="1" applyFill="1" applyBorder="1" applyAlignment="1">
      <alignment vertical="top"/>
    </xf>
    <xf numFmtId="0" fontId="12" fillId="7" borderId="33" xfId="0" applyFont="1" applyFill="1" applyBorder="1" applyAlignment="1">
      <alignment horizontal="centerContinuous" vertical="center"/>
    </xf>
    <xf numFmtId="0" fontId="12" fillId="7" borderId="34" xfId="0" applyFont="1" applyFill="1" applyBorder="1" applyAlignment="1">
      <alignment horizontal="centerContinuous" vertical="center"/>
    </xf>
    <xf numFmtId="0" fontId="12" fillId="7" borderId="34" xfId="0" applyFont="1" applyFill="1" applyBorder="1" applyAlignment="1">
      <alignment horizontal="centerContinuous" vertical="center" wrapText="1"/>
    </xf>
    <xf numFmtId="0" fontId="12" fillId="2" borderId="72" xfId="0" applyFont="1" applyFill="1" applyBorder="1" applyAlignment="1">
      <alignment horizontal="center" vertical="center" wrapText="1"/>
    </xf>
    <xf numFmtId="0" fontId="14" fillId="14" borderId="29" xfId="0" applyFont="1" applyFill="1" applyBorder="1" applyAlignment="1" applyProtection="1">
      <alignment horizontal="centerContinuous" vertical="center"/>
    </xf>
    <xf numFmtId="0" fontId="14" fillId="14" borderId="31" xfId="0" applyFont="1" applyFill="1" applyBorder="1" applyAlignment="1" applyProtection="1">
      <alignment horizontal="centerContinuous" vertical="center"/>
    </xf>
    <xf numFmtId="0" fontId="14" fillId="14" borderId="31" xfId="0" applyFont="1" applyFill="1" applyBorder="1" applyAlignment="1" applyProtection="1">
      <alignment horizontal="centerContinuous"/>
    </xf>
    <xf numFmtId="0" fontId="14" fillId="14" borderId="29" xfId="0" applyFont="1" applyFill="1" applyBorder="1" applyAlignment="1" applyProtection="1">
      <alignment horizontal="centerContinuous"/>
    </xf>
    <xf numFmtId="0" fontId="14" fillId="14" borderId="30" xfId="0" applyFont="1" applyFill="1" applyBorder="1" applyAlignment="1" applyProtection="1">
      <alignment horizontal="centerContinuous"/>
    </xf>
    <xf numFmtId="0" fontId="11" fillId="0" borderId="15" xfId="0" applyFont="1" applyFill="1" applyBorder="1" applyProtection="1"/>
    <xf numFmtId="0" fontId="11" fillId="0" borderId="0" xfId="0" applyFont="1" applyFill="1" applyBorder="1" applyAlignment="1" applyProtection="1">
      <alignment horizontal="center"/>
    </xf>
    <xf numFmtId="0" fontId="11" fillId="0" borderId="0" xfId="0" applyFont="1" applyFill="1" applyBorder="1" applyAlignment="1" applyProtection="1"/>
    <xf numFmtId="0" fontId="13" fillId="0" borderId="5" xfId="3" applyFont="1" applyFill="1" applyBorder="1" applyProtection="1"/>
    <xf numFmtId="0" fontId="11" fillId="0" borderId="5" xfId="3" applyFont="1" applyFill="1" applyBorder="1" applyAlignment="1" applyProtection="1"/>
    <xf numFmtId="0" fontId="11" fillId="0" borderId="6" xfId="0" applyFont="1" applyFill="1" applyBorder="1" applyAlignment="1" applyProtection="1"/>
    <xf numFmtId="0" fontId="11" fillId="0" borderId="5" xfId="3" applyFont="1" applyFill="1" applyBorder="1" applyProtection="1"/>
    <xf numFmtId="0" fontId="11" fillId="0" borderId="5" xfId="0" applyFont="1" applyFill="1" applyBorder="1" applyProtection="1"/>
    <xf numFmtId="0" fontId="11" fillId="0" borderId="8" xfId="0" applyFont="1" applyFill="1" applyBorder="1" applyAlignment="1" applyProtection="1">
      <alignment horizontal="center"/>
    </xf>
    <xf numFmtId="0" fontId="11" fillId="0" borderId="8" xfId="0" applyFont="1" applyFill="1" applyBorder="1" applyAlignment="1" applyProtection="1"/>
    <xf numFmtId="0" fontId="11" fillId="0" borderId="9" xfId="0" applyFont="1" applyFill="1" applyBorder="1" applyAlignment="1" applyProtection="1"/>
    <xf numFmtId="0" fontId="15" fillId="16" borderId="53" xfId="0" applyFont="1" applyFill="1" applyBorder="1" applyAlignment="1" applyProtection="1">
      <alignment wrapText="1"/>
    </xf>
    <xf numFmtId="0" fontId="15" fillId="16" borderId="59" xfId="0" applyFont="1" applyFill="1" applyBorder="1" applyAlignment="1" applyProtection="1">
      <alignment wrapText="1"/>
    </xf>
    <xf numFmtId="0" fontId="15" fillId="16" borderId="60" xfId="0" applyFont="1" applyFill="1" applyBorder="1" applyAlignment="1" applyProtection="1"/>
    <xf numFmtId="0" fontId="15" fillId="16" borderId="74" xfId="0" applyFont="1" applyFill="1" applyBorder="1" applyAlignment="1" applyProtection="1"/>
    <xf numFmtId="0" fontId="15" fillId="16" borderId="0" xfId="0" applyFont="1" applyFill="1" applyBorder="1" applyAlignment="1" applyProtection="1">
      <alignment wrapText="1"/>
    </xf>
    <xf numFmtId="0" fontId="15" fillId="16" borderId="66" xfId="0" applyFont="1" applyFill="1" applyBorder="1" applyAlignment="1" applyProtection="1">
      <alignment wrapText="1"/>
    </xf>
    <xf numFmtId="0" fontId="28" fillId="7" borderId="25" xfId="0" applyFont="1" applyFill="1" applyBorder="1" applyAlignment="1">
      <alignment vertical="center" wrapText="1"/>
    </xf>
    <xf numFmtId="0" fontId="28" fillId="7" borderId="36" xfId="0" applyFont="1" applyFill="1" applyBorder="1" applyAlignment="1">
      <alignment horizontal="center" wrapText="1"/>
    </xf>
    <xf numFmtId="0" fontId="12" fillId="7" borderId="25" xfId="0" applyFont="1" applyFill="1" applyBorder="1" applyAlignment="1">
      <alignment vertical="center" wrapText="1"/>
    </xf>
    <xf numFmtId="0" fontId="12" fillId="7" borderId="36" xfId="0" applyFont="1" applyFill="1" applyBorder="1" applyAlignment="1">
      <alignment horizontal="center" wrapText="1"/>
    </xf>
    <xf numFmtId="0" fontId="12" fillId="7" borderId="25" xfId="0" applyFont="1" applyFill="1" applyBorder="1" applyAlignment="1">
      <alignment horizontal="center" wrapText="1"/>
    </xf>
    <xf numFmtId="0" fontId="28" fillId="7" borderId="10"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12" fillId="7" borderId="20" xfId="0" applyFont="1" applyFill="1" applyBorder="1" applyAlignment="1">
      <alignment horizontal="centerContinuous" vertical="center" wrapText="1"/>
    </xf>
    <xf numFmtId="164" fontId="29" fillId="0" borderId="10" xfId="0" applyNumberFormat="1" applyFont="1" applyBorder="1" applyAlignment="1">
      <alignment horizontal="center" vertical="center" wrapText="1"/>
    </xf>
    <xf numFmtId="0" fontId="29" fillId="6" borderId="11" xfId="0" applyFont="1" applyFill="1" applyBorder="1" applyAlignment="1" applyProtection="1">
      <alignment vertical="center" wrapText="1"/>
      <protection locked="0"/>
    </xf>
    <xf numFmtId="0" fontId="28" fillId="7" borderId="60" xfId="0" applyFont="1" applyFill="1" applyBorder="1" applyAlignment="1">
      <alignment horizontal="centerContinuous" vertical="center" wrapText="1"/>
    </xf>
    <xf numFmtId="0" fontId="28" fillId="7" borderId="53" xfId="0" applyFont="1" applyFill="1" applyBorder="1" applyAlignment="1">
      <alignment horizontal="centerContinuous" vertical="center" wrapText="1"/>
    </xf>
    <xf numFmtId="0" fontId="28" fillId="7" borderId="59" xfId="0" applyFont="1" applyFill="1" applyBorder="1" applyAlignment="1">
      <alignment horizontal="centerContinuous" vertical="center" wrapText="1"/>
    </xf>
    <xf numFmtId="0" fontId="29" fillId="0" borderId="46" xfId="0" applyFont="1" applyBorder="1" applyAlignment="1">
      <alignment horizontal="centerContinuous" vertical="center" wrapText="1"/>
    </xf>
    <xf numFmtId="0" fontId="29" fillId="0" borderId="47" xfId="0" applyFont="1" applyBorder="1" applyAlignment="1">
      <alignment horizontal="centerContinuous" vertical="center" wrapText="1"/>
    </xf>
    <xf numFmtId="0" fontId="29" fillId="0" borderId="42" xfId="0" applyFont="1" applyBorder="1" applyAlignment="1">
      <alignment horizontal="centerContinuous" vertical="center" wrapText="1"/>
    </xf>
    <xf numFmtId="0" fontId="29" fillId="0" borderId="10" xfId="0" applyFont="1" applyBorder="1" applyAlignment="1">
      <alignment horizontal="centerContinuous" vertical="center" wrapText="1"/>
    </xf>
    <xf numFmtId="0" fontId="29" fillId="0" borderId="20" xfId="0" applyFont="1" applyBorder="1" applyAlignment="1">
      <alignment horizontal="centerContinuous" vertical="center" wrapText="1"/>
    </xf>
    <xf numFmtId="0" fontId="29" fillId="0" borderId="11" xfId="0" applyFont="1" applyBorder="1" applyAlignment="1">
      <alignment horizontal="centerContinuous" vertical="center" wrapText="1"/>
    </xf>
    <xf numFmtId="0" fontId="12" fillId="0" borderId="75" xfId="0" applyFont="1" applyFill="1" applyBorder="1" applyAlignment="1" applyProtection="1">
      <alignment horizontal="centerContinuous"/>
    </xf>
    <xf numFmtId="0" fontId="40" fillId="0" borderId="47" xfId="0" applyFont="1" applyFill="1" applyBorder="1" applyAlignment="1" applyProtection="1">
      <alignment horizontal="right"/>
    </xf>
    <xf numFmtId="0" fontId="12" fillId="15" borderId="3" xfId="0" applyFont="1" applyFill="1" applyBorder="1" applyAlignment="1" applyProtection="1">
      <alignment horizontal="centerContinuous"/>
    </xf>
    <xf numFmtId="0" fontId="12" fillId="15" borderId="4" xfId="0" applyFont="1" applyFill="1" applyBorder="1" applyAlignment="1" applyProtection="1">
      <alignment horizontal="centerContinuous"/>
    </xf>
    <xf numFmtId="0" fontId="11" fillId="0" borderId="15" xfId="0" applyFont="1" applyFill="1" applyBorder="1" applyAlignment="1" applyProtection="1">
      <alignment horizontal="center"/>
    </xf>
    <xf numFmtId="0" fontId="11" fillId="0" borderId="17" xfId="0" applyFont="1" applyFill="1" applyBorder="1" applyAlignment="1" applyProtection="1">
      <alignment horizontal="center"/>
    </xf>
    <xf numFmtId="0" fontId="14" fillId="0" borderId="12" xfId="0" applyFont="1" applyFill="1" applyBorder="1" applyAlignment="1" applyProtection="1">
      <alignment horizontal="center" wrapText="1"/>
    </xf>
    <xf numFmtId="0" fontId="12" fillId="0" borderId="14" xfId="0" applyFont="1" applyFill="1" applyBorder="1" applyAlignment="1" applyProtection="1">
      <alignment horizontal="center" wrapText="1"/>
    </xf>
    <xf numFmtId="0" fontId="11" fillId="22" borderId="0" xfId="3" applyFont="1" applyFill="1" applyBorder="1" applyAlignment="1" applyProtection="1">
      <alignment vertical="center" wrapText="1"/>
      <protection locked="0"/>
    </xf>
    <xf numFmtId="0" fontId="11" fillId="22" borderId="74" xfId="3" applyFont="1" applyFill="1" applyBorder="1" applyAlignment="1" applyProtection="1">
      <alignment vertical="center"/>
      <protection locked="0"/>
    </xf>
    <xf numFmtId="0" fontId="11" fillId="22" borderId="66" xfId="3" applyFont="1" applyFill="1" applyBorder="1" applyAlignment="1" applyProtection="1">
      <alignment vertical="center" wrapText="1"/>
      <protection locked="0"/>
    </xf>
    <xf numFmtId="0" fontId="11" fillId="22" borderId="46" xfId="3" applyFont="1" applyFill="1" applyBorder="1" applyAlignment="1" applyProtection="1">
      <alignment vertical="center"/>
      <protection locked="0"/>
    </xf>
    <xf numFmtId="0" fontId="11" fillId="22" borderId="47" xfId="3" applyFont="1" applyFill="1" applyBorder="1" applyAlignment="1" applyProtection="1">
      <alignment vertical="center" wrapText="1"/>
      <protection locked="0"/>
    </xf>
    <xf numFmtId="0" fontId="11" fillId="22" borderId="42" xfId="3" applyFont="1" applyFill="1" applyBorder="1" applyAlignment="1" applyProtection="1">
      <alignment vertical="center" wrapText="1"/>
      <protection locked="0"/>
    </xf>
    <xf numFmtId="0" fontId="12" fillId="7" borderId="33" xfId="0" applyFont="1" applyFill="1" applyBorder="1" applyAlignment="1">
      <alignment horizontal="centerContinuous" vertical="center" wrapText="1"/>
    </xf>
    <xf numFmtId="0" fontId="13" fillId="22" borderId="0" xfId="3" applyFont="1" applyFill="1" applyBorder="1" applyAlignment="1" applyProtection="1">
      <alignment vertical="center"/>
      <protection locked="0"/>
    </xf>
    <xf numFmtId="0" fontId="11" fillId="22" borderId="0" xfId="3" applyFont="1" applyFill="1" applyBorder="1" applyAlignment="1" applyProtection="1">
      <alignment vertical="center"/>
      <protection locked="0"/>
    </xf>
    <xf numFmtId="0" fontId="11" fillId="22" borderId="47" xfId="3" applyFont="1" applyFill="1" applyBorder="1" applyAlignment="1" applyProtection="1">
      <alignment vertical="center"/>
      <protection locked="0"/>
    </xf>
    <xf numFmtId="0" fontId="15" fillId="0" borderId="76" xfId="0" applyFont="1" applyBorder="1" applyProtection="1"/>
    <xf numFmtId="0" fontId="15" fillId="0" borderId="19" xfId="0" applyFont="1" applyBorder="1" applyAlignment="1">
      <alignment horizontal="center"/>
    </xf>
    <xf numFmtId="0" fontId="15" fillId="0" borderId="18" xfId="0" applyFont="1" applyBorder="1" applyAlignment="1">
      <alignment horizontal="center"/>
    </xf>
    <xf numFmtId="0" fontId="11" fillId="0" borderId="17" xfId="0" applyFont="1" applyBorder="1" applyAlignment="1">
      <alignment horizontal="center"/>
    </xf>
    <xf numFmtId="0" fontId="15" fillId="0" borderId="17" xfId="0" applyFont="1" applyBorder="1"/>
    <xf numFmtId="0" fontId="15" fillId="0" borderId="16" xfId="0" applyFont="1" applyBorder="1" applyAlignment="1">
      <alignment horizontal="center"/>
    </xf>
    <xf numFmtId="0" fontId="15" fillId="0" borderId="1" xfId="0" applyFont="1" applyBorder="1" applyAlignment="1">
      <alignment horizontal="center"/>
    </xf>
    <xf numFmtId="0" fontId="11" fillId="0" borderId="15" xfId="0" applyFont="1" applyBorder="1" applyAlignment="1">
      <alignment horizontal="center"/>
    </xf>
    <xf numFmtId="0" fontId="11" fillId="0" borderId="15" xfId="0" applyFont="1" applyBorder="1"/>
    <xf numFmtId="0" fontId="12" fillId="15" borderId="4" xfId="0" applyFont="1" applyFill="1" applyBorder="1" applyAlignment="1">
      <alignment horizontal="centerContinuous"/>
    </xf>
    <xf numFmtId="0" fontId="12" fillId="15" borderId="3" xfId="0" applyFont="1" applyFill="1" applyBorder="1" applyAlignment="1">
      <alignment horizontal="centerContinuous"/>
    </xf>
    <xf numFmtId="0" fontId="12" fillId="15" borderId="30" xfId="0" applyFont="1" applyFill="1" applyBorder="1" applyAlignment="1">
      <alignment horizontal="centerContinuous"/>
    </xf>
    <xf numFmtId="0" fontId="12" fillId="15" borderId="29" xfId="0" applyFont="1" applyFill="1" applyBorder="1" applyAlignment="1">
      <alignment horizontal="centerContinuous"/>
    </xf>
    <xf numFmtId="0" fontId="11" fillId="0" borderId="35" xfId="0" applyFont="1" applyBorder="1"/>
    <xf numFmtId="0" fontId="11" fillId="0" borderId="27" xfId="0" applyFont="1" applyBorder="1"/>
    <xf numFmtId="0" fontId="11" fillId="0" borderId="27" xfId="0" applyFont="1" applyBorder="1" applyAlignment="1">
      <alignment horizontal="center"/>
    </xf>
    <xf numFmtId="0" fontId="15" fillId="0" borderId="25" xfId="0" applyFont="1" applyBorder="1" applyAlignment="1">
      <alignment horizontal="center"/>
    </xf>
    <xf numFmtId="0" fontId="15" fillId="0" borderId="28" xfId="0" applyFont="1" applyBorder="1" applyAlignment="1">
      <alignment horizontal="center"/>
    </xf>
    <xf numFmtId="0" fontId="12" fillId="0" borderId="43" xfId="0" applyFont="1" applyBorder="1" applyAlignment="1">
      <alignment horizontal="center" vertical="center"/>
    </xf>
    <xf numFmtId="0" fontId="12" fillId="0" borderId="48" xfId="0" applyFont="1" applyBorder="1" applyAlignment="1">
      <alignment horizontal="center" vertical="center" wrapText="1"/>
    </xf>
    <xf numFmtId="0" fontId="14" fillId="0" borderId="43" xfId="0" applyFont="1" applyBorder="1" applyAlignment="1">
      <alignment horizontal="center" vertical="center" wrapText="1"/>
    </xf>
    <xf numFmtId="0" fontId="12" fillId="0" borderId="44" xfId="0" applyFont="1" applyBorder="1" applyAlignment="1">
      <alignment horizontal="center" vertical="center" wrapText="1"/>
    </xf>
    <xf numFmtId="3" fontId="11" fillId="0" borderId="25" xfId="0" applyNumberFormat="1" applyFont="1" applyBorder="1" applyAlignment="1">
      <alignment horizontal="center"/>
    </xf>
    <xf numFmtId="3" fontId="11" fillId="0" borderId="1" xfId="0" applyNumberFormat="1" applyFont="1" applyBorder="1" applyAlignment="1">
      <alignment horizontal="center"/>
    </xf>
    <xf numFmtId="3" fontId="11" fillId="0" borderId="36" xfId="0" applyNumberFormat="1" applyFont="1" applyBorder="1" applyAlignment="1">
      <alignment horizontal="center"/>
    </xf>
    <xf numFmtId="3" fontId="15" fillId="0" borderId="18" xfId="0" applyNumberFormat="1" applyFont="1" applyBorder="1" applyAlignment="1">
      <alignment horizontal="center"/>
    </xf>
    <xf numFmtId="0" fontId="15" fillId="0" borderId="16" xfId="0" applyFont="1" applyBorder="1" applyAlignment="1">
      <alignment horizontal="left" vertical="center" wrapText="1"/>
    </xf>
    <xf numFmtId="0" fontId="15" fillId="0" borderId="17" xfId="0" applyFont="1" applyBorder="1" applyAlignment="1">
      <alignment vertical="top"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3" fillId="0" borderId="0" xfId="3" applyAlignment="1">
      <alignment vertical="top"/>
    </xf>
    <xf numFmtId="0" fontId="15" fillId="0" borderId="10" xfId="0" applyFont="1" applyFill="1" applyBorder="1" applyProtection="1"/>
    <xf numFmtId="173" fontId="15" fillId="6" borderId="51" xfId="0" applyNumberFormat="1" applyFont="1" applyFill="1" applyBorder="1" applyAlignment="1" applyProtection="1">
      <alignment horizontal="right" vertical="center"/>
      <protection locked="0"/>
    </xf>
    <xf numFmtId="0" fontId="14" fillId="14" borderId="30" xfId="0" applyFont="1" applyFill="1" applyBorder="1" applyAlignment="1" applyProtection="1">
      <alignment horizontal="centerContinuous" vertical="center"/>
    </xf>
    <xf numFmtId="0" fontId="11" fillId="0" borderId="10" xfId="0" applyFont="1" applyFill="1" applyBorder="1" applyProtection="1"/>
    <xf numFmtId="0" fontId="25" fillId="0" borderId="1" xfId="0" applyFont="1" applyFill="1" applyBorder="1" applyProtection="1"/>
    <xf numFmtId="0" fontId="25" fillId="0" borderId="10" xfId="0" applyFont="1" applyFill="1" applyBorder="1" applyProtection="1"/>
    <xf numFmtId="3" fontId="15" fillId="0" borderId="1" xfId="0" quotePrefix="1" applyNumberFormat="1" applyFont="1" applyBorder="1" applyAlignment="1">
      <alignment horizontal="left" vertical="center" wrapText="1"/>
    </xf>
    <xf numFmtId="0" fontId="11" fillId="3" borderId="12" xfId="0" applyFont="1" applyFill="1" applyBorder="1" applyAlignment="1">
      <alignment horizontal="center" vertical="center" wrapText="1"/>
    </xf>
    <xf numFmtId="0" fontId="15" fillId="6" borderId="34" xfId="0" applyFont="1" applyFill="1" applyBorder="1" applyAlignment="1" applyProtection="1">
      <alignment horizontal="left" vertical="center" wrapText="1"/>
      <protection locked="0"/>
    </xf>
    <xf numFmtId="0" fontId="11" fillId="3" borderId="15" xfId="0" applyFont="1" applyFill="1" applyBorder="1" applyAlignment="1">
      <alignment horizontal="center" vertical="center" wrapText="1"/>
    </xf>
    <xf numFmtId="0" fontId="13" fillId="0" borderId="0" xfId="3" applyFill="1" applyBorder="1" applyAlignment="1">
      <alignment vertical="top"/>
    </xf>
    <xf numFmtId="0" fontId="15" fillId="2" borderId="1" xfId="0" applyFont="1" applyFill="1" applyBorder="1" applyAlignment="1">
      <alignment horizontal="right" indent="1"/>
    </xf>
    <xf numFmtId="0" fontId="11" fillId="0" borderId="1" xfId="0" applyFont="1" applyFill="1" applyBorder="1" applyAlignment="1">
      <alignment horizontal="left" indent="1"/>
    </xf>
    <xf numFmtId="3" fontId="15" fillId="0" borderId="1" xfId="0" applyNumberFormat="1" applyFont="1" applyBorder="1" applyAlignment="1">
      <alignment horizontal="left" indent="1"/>
    </xf>
    <xf numFmtId="3" fontId="15" fillId="0" borderId="1" xfId="0" applyNumberFormat="1" applyFont="1" applyFill="1" applyBorder="1" applyAlignment="1">
      <alignment horizontal="left" indent="1"/>
    </xf>
    <xf numFmtId="2" fontId="15" fillId="0" borderId="1" xfId="0" applyNumberFormat="1" applyFont="1" applyFill="1" applyBorder="1" applyAlignment="1">
      <alignment horizontal="left" indent="1"/>
    </xf>
    <xf numFmtId="169" fontId="15" fillId="0" borderId="1" xfId="0" applyNumberFormat="1" applyFont="1" applyBorder="1" applyAlignment="1">
      <alignment horizontal="left" indent="1"/>
    </xf>
    <xf numFmtId="0" fontId="11" fillId="0" borderId="1" xfId="0" applyFont="1" applyFill="1" applyBorder="1" applyAlignment="1">
      <alignment horizontal="left" wrapText="1" indent="1"/>
    </xf>
    <xf numFmtId="3" fontId="15" fillId="0" borderId="1" xfId="0" applyNumberFormat="1" applyFont="1" applyBorder="1" applyAlignment="1">
      <alignment horizontal="left" wrapText="1" indent="1"/>
    </xf>
    <xf numFmtId="3" fontId="15" fillId="0" borderId="1" xfId="0" applyNumberFormat="1" applyFont="1" applyFill="1" applyBorder="1" applyAlignment="1">
      <alignment horizontal="left" wrapText="1" indent="1"/>
    </xf>
    <xf numFmtId="2" fontId="15" fillId="0" borderId="1" xfId="0" applyNumberFormat="1" applyFont="1" applyFill="1" applyBorder="1" applyAlignment="1">
      <alignment horizontal="left" wrapText="1" indent="1"/>
    </xf>
    <xf numFmtId="0" fontId="22" fillId="7" borderId="11" xfId="0" applyFont="1" applyFill="1" applyBorder="1" applyAlignment="1">
      <alignment horizontal="centerContinuous"/>
    </xf>
    <xf numFmtId="0" fontId="15" fillId="2" borderId="1" xfId="0" applyFont="1" applyFill="1" applyBorder="1" applyAlignment="1">
      <alignment horizontal="right"/>
    </xf>
    <xf numFmtId="0" fontId="11" fillId="0" borderId="1" xfId="0" applyFont="1" applyFill="1" applyBorder="1" applyAlignment="1">
      <alignment horizontal="center"/>
    </xf>
    <xf numFmtId="0" fontId="15" fillId="0" borderId="1" xfId="0" applyFont="1" applyBorder="1" applyAlignment="1"/>
    <xf numFmtId="3" fontId="15" fillId="0" borderId="1" xfId="0" applyNumberFormat="1" applyFont="1" applyFill="1" applyBorder="1" applyAlignment="1">
      <alignment horizontal="center"/>
    </xf>
    <xf numFmtId="0" fontId="15" fillId="0" borderId="1" xfId="0" applyFont="1" applyFill="1" applyBorder="1" applyAlignment="1"/>
    <xf numFmtId="2" fontId="15" fillId="0" borderId="1" xfId="0" applyNumberFormat="1" applyFont="1" applyFill="1" applyBorder="1" applyAlignment="1">
      <alignment horizontal="center"/>
    </xf>
    <xf numFmtId="169" fontId="15" fillId="0" borderId="1" xfId="0" applyNumberFormat="1" applyFont="1" applyBorder="1" applyAlignment="1">
      <alignment horizontal="center"/>
    </xf>
    <xf numFmtId="0" fontId="22" fillId="7" borderId="1" xfId="0" applyFont="1" applyFill="1" applyBorder="1" applyAlignment="1">
      <alignment horizontal="centerContinuous"/>
    </xf>
    <xf numFmtId="0" fontId="12" fillId="2" borderId="5" xfId="0" applyFont="1" applyFill="1" applyBorder="1" applyAlignment="1" applyProtection="1">
      <alignment vertical="center"/>
    </xf>
    <xf numFmtId="0" fontId="11" fillId="2" borderId="56" xfId="0" applyFont="1" applyFill="1" applyBorder="1" applyAlignment="1" applyProtection="1">
      <alignment horizontal="left" vertical="center" wrapText="1"/>
    </xf>
    <xf numFmtId="0" fontId="12" fillId="2" borderId="33" xfId="0" applyFont="1" applyFill="1" applyBorder="1" applyAlignment="1" applyProtection="1">
      <alignment horizontal="center" vertical="center" wrapText="1"/>
    </xf>
    <xf numFmtId="3" fontId="15" fillId="3" borderId="56" xfId="0" applyNumberFormat="1" applyFont="1" applyFill="1" applyBorder="1" applyAlignment="1" applyProtection="1">
      <alignment horizontal="center" vertical="center"/>
    </xf>
    <xf numFmtId="0" fontId="12" fillId="2" borderId="57" xfId="0" applyFont="1" applyFill="1" applyBorder="1" applyAlignment="1" applyProtection="1">
      <alignment vertical="center"/>
    </xf>
    <xf numFmtId="3" fontId="15" fillId="3" borderId="67" xfId="0" applyNumberFormat="1" applyFont="1" applyFill="1" applyBorder="1" applyAlignment="1" applyProtection="1">
      <alignment horizontal="center" vertical="center"/>
    </xf>
    <xf numFmtId="3" fontId="15" fillId="3" borderId="34" xfId="0" applyNumberFormat="1" applyFont="1" applyFill="1" applyBorder="1" applyAlignment="1" applyProtection="1">
      <alignment horizontal="centerContinuous" vertical="center"/>
    </xf>
    <xf numFmtId="3" fontId="15" fillId="3" borderId="32" xfId="0" applyNumberFormat="1" applyFont="1" applyFill="1" applyBorder="1" applyAlignment="1" applyProtection="1">
      <alignment horizontal="centerContinuous" vertical="center"/>
    </xf>
    <xf numFmtId="0" fontId="15" fillId="2" borderId="33" xfId="0" applyFont="1" applyFill="1" applyBorder="1" applyAlignment="1" applyProtection="1">
      <alignment vertical="center" wrapText="1"/>
    </xf>
    <xf numFmtId="172" fontId="15" fillId="3" borderId="65" xfId="0" applyNumberFormat="1" applyFont="1" applyFill="1" applyBorder="1" applyAlignment="1" applyProtection="1">
      <alignment horizontal="center" vertical="center"/>
    </xf>
    <xf numFmtId="3" fontId="15" fillId="3" borderId="64" xfId="0" applyNumberFormat="1" applyFont="1" applyFill="1" applyBorder="1" applyAlignment="1" applyProtection="1">
      <alignment horizontal="center" vertical="center"/>
    </xf>
    <xf numFmtId="0" fontId="15" fillId="2" borderId="25" xfId="0" applyFont="1" applyFill="1" applyBorder="1" applyAlignment="1" applyProtection="1">
      <alignment horizontal="left" vertical="top" wrapText="1"/>
    </xf>
    <xf numFmtId="0" fontId="15" fillId="3" borderId="25" xfId="0" applyFont="1" applyFill="1" applyBorder="1" applyAlignment="1" applyProtection="1">
      <alignment horizontal="center" vertical="top" wrapText="1"/>
    </xf>
    <xf numFmtId="0" fontId="12" fillId="7" borderId="10" xfId="0" applyFont="1" applyFill="1" applyBorder="1" applyAlignment="1" applyProtection="1">
      <alignment horizontal="centerContinuous" vertical="top" wrapText="1"/>
    </xf>
    <xf numFmtId="0" fontId="12" fillId="7" borderId="11" xfId="0" applyFont="1" applyFill="1" applyBorder="1" applyAlignment="1" applyProtection="1">
      <alignment horizontal="centerContinuous" vertical="top" wrapText="1"/>
    </xf>
    <xf numFmtId="0" fontId="15" fillId="3" borderId="46" xfId="0" applyFont="1" applyFill="1" applyBorder="1" applyAlignment="1">
      <alignment horizontal="right"/>
    </xf>
    <xf numFmtId="0" fontId="22" fillId="7" borderId="10" xfId="0" applyFont="1" applyFill="1" applyBorder="1" applyAlignment="1">
      <alignment horizontal="centerContinuous" vertical="center"/>
    </xf>
    <xf numFmtId="0" fontId="11" fillId="3" borderId="46" xfId="0" applyFont="1" applyFill="1" applyBorder="1" applyAlignment="1">
      <alignment horizontal="right" vertical="center"/>
    </xf>
    <xf numFmtId="0" fontId="15" fillId="2" borderId="46" xfId="0" applyFont="1" applyFill="1" applyBorder="1" applyAlignment="1" applyProtection="1">
      <alignment vertical="center"/>
    </xf>
    <xf numFmtId="0" fontId="15" fillId="2" borderId="47" xfId="0" applyFont="1" applyFill="1" applyBorder="1" applyAlignment="1" applyProtection="1">
      <alignment vertical="center"/>
    </xf>
    <xf numFmtId="0" fontId="15" fillId="2" borderId="42" xfId="0" applyFont="1" applyFill="1" applyBorder="1" applyAlignment="1" applyProtection="1">
      <alignment horizontal="right" vertical="center"/>
    </xf>
    <xf numFmtId="0" fontId="22" fillId="4" borderId="10" xfId="0" applyFont="1" applyFill="1" applyBorder="1" applyAlignment="1" applyProtection="1">
      <alignment horizontal="centerContinuous" vertical="center"/>
    </xf>
    <xf numFmtId="0" fontId="22" fillId="4" borderId="20" xfId="0" applyFont="1" applyFill="1" applyBorder="1" applyAlignment="1" applyProtection="1">
      <alignment horizontal="centerContinuous" vertical="center"/>
    </xf>
    <xf numFmtId="0" fontId="22" fillId="4" borderId="11" xfId="0" applyFont="1" applyFill="1" applyBorder="1" applyAlignment="1" applyProtection="1">
      <alignment horizontal="centerContinuous" vertical="center"/>
    </xf>
    <xf numFmtId="0" fontId="12" fillId="2" borderId="40" xfId="0" applyFont="1" applyFill="1" applyBorder="1" applyAlignment="1">
      <alignment horizontal="center" vertical="center" wrapText="1"/>
    </xf>
    <xf numFmtId="0" fontId="12" fillId="15" borderId="33" xfId="0" applyFont="1" applyFill="1" applyBorder="1" applyAlignment="1">
      <alignment horizontal="centerContinuous"/>
    </xf>
    <xf numFmtId="0" fontId="12" fillId="15" borderId="34" xfId="0" applyFont="1" applyFill="1" applyBorder="1" applyAlignment="1">
      <alignment horizontal="centerContinuous"/>
    </xf>
    <xf numFmtId="0" fontId="12" fillId="15" borderId="32" xfId="0" applyFont="1" applyFill="1" applyBorder="1" applyAlignment="1">
      <alignment horizontal="centerContinuous"/>
    </xf>
    <xf numFmtId="0" fontId="14" fillId="6" borderId="40" xfId="0" applyFont="1" applyFill="1" applyBorder="1" applyAlignment="1" applyProtection="1">
      <alignment horizontal="center"/>
      <protection locked="0"/>
    </xf>
    <xf numFmtId="0" fontId="12" fillId="6" borderId="72" xfId="0" applyFont="1" applyFill="1" applyBorder="1" applyAlignment="1" applyProtection="1">
      <alignment horizontal="center"/>
      <protection locked="0"/>
    </xf>
    <xf numFmtId="0" fontId="12" fillId="3" borderId="72" xfId="0" applyFont="1" applyFill="1" applyBorder="1" applyAlignment="1">
      <alignment horizontal="center"/>
    </xf>
    <xf numFmtId="0" fontId="12" fillId="3" borderId="73" xfId="0" applyFont="1" applyFill="1" applyBorder="1" applyAlignment="1">
      <alignment horizontal="center"/>
    </xf>
    <xf numFmtId="0" fontId="12" fillId="2" borderId="72" xfId="0" applyFont="1" applyFill="1" applyBorder="1" applyAlignment="1">
      <alignment horizontal="center" vertical="center"/>
    </xf>
    <xf numFmtId="0" fontId="12" fillId="2" borderId="73" xfId="0" applyFont="1" applyFill="1" applyBorder="1" applyAlignment="1">
      <alignment horizontal="center" vertical="center"/>
    </xf>
    <xf numFmtId="3" fontId="15" fillId="3" borderId="16" xfId="0" applyNumberFormat="1" applyFont="1" applyFill="1" applyBorder="1" applyAlignment="1" applyProtection="1">
      <alignment horizontal="center" vertical="center"/>
    </xf>
    <xf numFmtId="3" fontId="12" fillId="2" borderId="20" xfId="0" applyNumberFormat="1" applyFont="1" applyFill="1" applyBorder="1" applyAlignment="1" applyProtection="1">
      <alignment horizontal="center" vertical="center"/>
    </xf>
    <xf numFmtId="3" fontId="15" fillId="3" borderId="20" xfId="0" applyNumberFormat="1" applyFont="1" applyFill="1" applyBorder="1" applyAlignment="1" applyProtection="1">
      <alignment horizontal="center" vertical="center"/>
    </xf>
    <xf numFmtId="3" fontId="15" fillId="3" borderId="11" xfId="0" applyNumberFormat="1" applyFont="1" applyFill="1" applyBorder="1" applyAlignment="1" applyProtection="1">
      <alignment horizontal="center" vertical="center"/>
    </xf>
    <xf numFmtId="0" fontId="14" fillId="14" borderId="79" xfId="0" applyFont="1" applyFill="1" applyBorder="1" applyAlignment="1" applyProtection="1">
      <alignment horizontal="centerContinuous"/>
    </xf>
    <xf numFmtId="0" fontId="15" fillId="2" borderId="78" xfId="0" applyFont="1" applyFill="1" applyBorder="1" applyAlignment="1" applyProtection="1">
      <alignment vertical="center"/>
    </xf>
    <xf numFmtId="0" fontId="12" fillId="2" borderId="78" xfId="0" applyFont="1" applyFill="1" applyBorder="1" applyAlignment="1" applyProtection="1">
      <alignment horizontal="center" vertical="center"/>
    </xf>
    <xf numFmtId="0" fontId="11" fillId="2" borderId="61" xfId="0" applyFont="1" applyFill="1" applyBorder="1" applyAlignment="1" applyProtection="1">
      <alignment horizontal="left" vertical="center" wrapText="1"/>
    </xf>
    <xf numFmtId="0" fontId="11" fillId="2" borderId="64" xfId="0" applyFont="1" applyFill="1" applyBorder="1" applyAlignment="1" applyProtection="1">
      <alignment horizontal="left" vertical="center" wrapText="1"/>
    </xf>
    <xf numFmtId="175" fontId="15" fillId="0" borderId="1" xfId="0" applyNumberFormat="1" applyFont="1" applyBorder="1" applyAlignment="1">
      <alignment horizontal="center"/>
    </xf>
    <xf numFmtId="0" fontId="12" fillId="15" borderId="2" xfId="0" applyFont="1" applyFill="1" applyBorder="1" applyAlignment="1" applyProtection="1">
      <alignment horizontal="centerContinuous"/>
    </xf>
    <xf numFmtId="0" fontId="12" fillId="0" borderId="21" xfId="0" applyFont="1" applyFill="1" applyBorder="1" applyAlignment="1" applyProtection="1">
      <alignment horizontal="center" wrapText="1"/>
    </xf>
    <xf numFmtId="0" fontId="12" fillId="0" borderId="21" xfId="0" applyFont="1" applyFill="1" applyBorder="1" applyAlignment="1" applyProtection="1">
      <alignment horizontal="center"/>
    </xf>
    <xf numFmtId="0" fontId="12" fillId="0" borderId="21" xfId="0" applyFont="1" applyFill="1" applyBorder="1" applyAlignment="1" applyProtection="1">
      <alignment horizontal="centerContinuous"/>
    </xf>
    <xf numFmtId="0" fontId="12" fillId="0" borderId="13" xfId="0" applyFont="1" applyFill="1" applyBorder="1" applyAlignment="1" applyProtection="1">
      <alignment horizontal="centerContinuous"/>
    </xf>
    <xf numFmtId="0" fontId="12" fillId="0" borderId="14" xfId="0" applyFont="1" applyFill="1" applyBorder="1" applyAlignment="1" applyProtection="1">
      <alignment horizontal="centerContinuous"/>
    </xf>
    <xf numFmtId="0" fontId="15" fillId="0" borderId="77" xfId="0" applyFont="1" applyFill="1" applyBorder="1" applyAlignment="1" applyProtection="1">
      <alignment horizontal="centerContinuous" vertical="center" wrapText="1"/>
    </xf>
    <xf numFmtId="37" fontId="15" fillId="3" borderId="13" xfId="0" applyNumberFormat="1" applyFont="1" applyFill="1" applyBorder="1" applyAlignment="1">
      <alignment horizontal="center" vertical="center"/>
    </xf>
    <xf numFmtId="0" fontId="12" fillId="2" borderId="13" xfId="0" applyFont="1" applyFill="1" applyBorder="1" applyAlignment="1" applyProtection="1">
      <alignment horizontal="center" vertical="center" wrapText="1"/>
    </xf>
    <xf numFmtId="170" fontId="15" fillId="0" borderId="11" xfId="0" applyNumberFormat="1"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20" xfId="0" applyFont="1" applyFill="1" applyBorder="1" applyAlignment="1" applyProtection="1">
      <alignment horizontal="centerContinuous" vertical="center" wrapText="1"/>
    </xf>
    <xf numFmtId="170" fontId="15" fillId="0" borderId="42" xfId="0" applyNumberFormat="1" applyFont="1" applyFill="1" applyBorder="1" applyAlignment="1" applyProtection="1">
      <alignment horizontal="center" vertical="center"/>
    </xf>
    <xf numFmtId="0" fontId="15" fillId="0" borderId="42" xfId="0" applyFont="1" applyFill="1" applyBorder="1" applyAlignment="1" applyProtection="1">
      <alignment horizontal="center" vertical="center"/>
    </xf>
    <xf numFmtId="0" fontId="15" fillId="0" borderId="47" xfId="0" applyFont="1" applyFill="1" applyBorder="1" applyAlignment="1" applyProtection="1">
      <alignment horizontal="centerContinuous" vertical="center" wrapText="1"/>
    </xf>
    <xf numFmtId="0" fontId="15" fillId="0" borderId="15" xfId="0" applyFont="1" applyFill="1" applyBorder="1" applyAlignment="1" applyProtection="1">
      <alignment vertical="center" wrapText="1"/>
    </xf>
    <xf numFmtId="0" fontId="15" fillId="0" borderId="45" xfId="0" applyFont="1" applyFill="1" applyBorder="1" applyAlignment="1" applyProtection="1">
      <alignment horizontal="centerContinuous" vertical="center" wrapText="1"/>
    </xf>
    <xf numFmtId="0" fontId="15" fillId="0" borderId="27" xfId="0" applyFont="1" applyFill="1" applyBorder="1" applyAlignment="1" applyProtection="1">
      <alignment vertical="center" wrapText="1"/>
    </xf>
    <xf numFmtId="0" fontId="15" fillId="0" borderId="49" xfId="0" applyFont="1" applyFill="1" applyBorder="1" applyAlignment="1" applyProtection="1">
      <alignment horizontal="centerContinuous" vertical="center" wrapText="1"/>
    </xf>
    <xf numFmtId="0" fontId="15" fillId="0" borderId="8" xfId="0" applyFont="1" applyFill="1" applyBorder="1" applyAlignment="1" applyProtection="1">
      <alignment horizontal="centerContinuous" vertical="center" wrapText="1"/>
    </xf>
    <xf numFmtId="0" fontId="15" fillId="0" borderId="9" xfId="0" applyFont="1" applyFill="1" applyBorder="1" applyAlignment="1" applyProtection="1">
      <alignment horizontal="centerContinuous" vertical="center" wrapText="1"/>
    </xf>
    <xf numFmtId="0" fontId="15" fillId="0" borderId="50" xfId="0" applyFont="1" applyFill="1" applyBorder="1" applyAlignment="1" applyProtection="1">
      <alignment horizontal="centerContinuous" vertical="center" wrapText="1"/>
    </xf>
    <xf numFmtId="3" fontId="11" fillId="0" borderId="0" xfId="0" applyNumberFormat="1" applyFont="1" applyFill="1" applyBorder="1"/>
    <xf numFmtId="0" fontId="11" fillId="0" borderId="0" xfId="3" applyFont="1" applyFill="1" applyBorder="1" applyAlignment="1">
      <alignment horizontal="left" vertical="center" wrapText="1"/>
    </xf>
    <xf numFmtId="0" fontId="13" fillId="0" borderId="0" xfId="3" applyFill="1" applyBorder="1" applyAlignment="1">
      <alignment horizontal="left" vertical="top"/>
    </xf>
    <xf numFmtId="0" fontId="39" fillId="0" borderId="1" xfId="0" applyFont="1" applyFill="1" applyBorder="1" applyAlignment="1" applyProtection="1">
      <alignment horizontal="center"/>
    </xf>
    <xf numFmtId="0" fontId="37" fillId="3" borderId="1" xfId="3" applyFont="1" applyFill="1" applyBorder="1" applyAlignment="1" applyProtection="1">
      <alignment horizontal="center" vertical="center" wrapText="1"/>
    </xf>
    <xf numFmtId="0" fontId="11" fillId="0" borderId="27" xfId="0" applyFont="1" applyBorder="1" applyAlignment="1">
      <alignment vertical="top" wrapText="1"/>
    </xf>
    <xf numFmtId="0" fontId="15" fillId="0" borderId="15" xfId="0" applyFont="1" applyBorder="1" applyAlignment="1">
      <alignment vertical="top" wrapText="1"/>
    </xf>
    <xf numFmtId="0" fontId="42" fillId="2" borderId="1" xfId="3" applyFont="1" applyFill="1" applyBorder="1" applyAlignment="1" applyProtection="1">
      <alignment horizontal="left" vertical="center" wrapText="1"/>
    </xf>
    <xf numFmtId="0" fontId="44" fillId="2" borderId="1" xfId="3" applyFont="1" applyFill="1" applyBorder="1" applyAlignment="1" applyProtection="1">
      <alignment horizontal="left" vertical="center" wrapText="1"/>
    </xf>
    <xf numFmtId="3" fontId="15" fillId="5" borderId="13" xfId="0" applyNumberFormat="1" applyFont="1" applyFill="1" applyBorder="1" applyAlignment="1" applyProtection="1">
      <alignment horizontal="center" vertical="center" wrapText="1"/>
      <protection locked="0"/>
    </xf>
    <xf numFmtId="3" fontId="15" fillId="5" borderId="1" xfId="0" applyNumberFormat="1" applyFont="1" applyFill="1" applyBorder="1" applyAlignment="1" applyProtection="1">
      <alignment horizontal="center" vertical="center" wrapText="1"/>
      <protection locked="0"/>
    </xf>
    <xf numFmtId="3" fontId="15" fillId="5" borderId="18" xfId="0" applyNumberFormat="1" applyFont="1" applyFill="1" applyBorder="1" applyAlignment="1" applyProtection="1">
      <alignment horizontal="center" vertical="center" wrapText="1"/>
      <protection locked="0"/>
    </xf>
    <xf numFmtId="0" fontId="15" fillId="0" borderId="80" xfId="0" applyFont="1" applyBorder="1" applyProtection="1"/>
    <xf numFmtId="3" fontId="15" fillId="6" borderId="13" xfId="0" applyNumberFormat="1" applyFont="1" applyFill="1" applyBorder="1" applyAlignment="1" applyProtection="1">
      <alignment horizontal="center" vertical="center" wrapText="1"/>
      <protection locked="0"/>
    </xf>
    <xf numFmtId="0" fontId="15" fillId="0" borderId="10" xfId="0" applyFont="1" applyFill="1" applyBorder="1" applyAlignment="1" applyProtection="1">
      <alignment horizontal="centerContinuous" vertical="center" wrapText="1"/>
    </xf>
    <xf numFmtId="170" fontId="15" fillId="0" borderId="72" xfId="0" applyNumberFormat="1" applyFont="1" applyFill="1" applyBorder="1" applyAlignment="1" applyProtection="1">
      <alignment horizontal="center" vertical="center"/>
    </xf>
    <xf numFmtId="0" fontId="15" fillId="0" borderId="72" xfId="0" applyFont="1" applyFill="1" applyBorder="1" applyAlignment="1" applyProtection="1">
      <alignment horizontal="center" vertical="center"/>
    </xf>
    <xf numFmtId="0" fontId="15" fillId="0" borderId="51" xfId="0" applyFont="1" applyFill="1" applyBorder="1" applyAlignment="1" applyProtection="1">
      <alignment horizontal="centerContinuous" vertical="center" wrapText="1"/>
    </xf>
    <xf numFmtId="0" fontId="15" fillId="0" borderId="71" xfId="0" applyFont="1" applyFill="1" applyBorder="1" applyAlignment="1" applyProtection="1">
      <alignment horizontal="centerContinuous" vertical="center" wrapText="1"/>
    </xf>
    <xf numFmtId="0" fontId="15" fillId="0" borderId="20" xfId="0" applyFont="1" applyFill="1" applyBorder="1" applyAlignment="1" applyProtection="1">
      <alignment horizontal="centerContinuous" vertical="center"/>
    </xf>
    <xf numFmtId="0" fontId="15" fillId="0" borderId="45" xfId="0" applyFont="1" applyFill="1" applyBorder="1" applyAlignment="1" applyProtection="1">
      <alignment horizontal="centerContinuous" vertical="center"/>
    </xf>
    <xf numFmtId="0" fontId="11" fillId="0" borderId="38" xfId="0" applyFont="1" applyBorder="1" applyAlignment="1">
      <alignment vertical="top" wrapText="1"/>
    </xf>
    <xf numFmtId="0" fontId="15" fillId="0" borderId="36" xfId="0" applyFont="1" applyBorder="1" applyAlignment="1">
      <alignment horizontal="left" vertical="center" wrapText="1"/>
    </xf>
    <xf numFmtId="3" fontId="15" fillId="0" borderId="36" xfId="0" quotePrefix="1" applyNumberFormat="1" applyFont="1" applyBorder="1" applyAlignment="1">
      <alignment horizontal="left" vertical="center" wrapText="1"/>
    </xf>
    <xf numFmtId="0" fontId="15" fillId="0" borderId="39" xfId="0" applyFont="1" applyBorder="1" applyAlignment="1">
      <alignment horizontal="left" vertical="center" wrapText="1"/>
    </xf>
    <xf numFmtId="0" fontId="15" fillId="2" borderId="56" xfId="0" applyFont="1" applyFill="1" applyBorder="1" applyAlignment="1" applyProtection="1">
      <alignment vertical="center" wrapText="1"/>
    </xf>
    <xf numFmtId="0" fontId="12" fillId="0" borderId="41" xfId="0" applyFont="1" applyBorder="1" applyProtection="1"/>
    <xf numFmtId="0" fontId="15" fillId="0" borderId="42" xfId="0" applyFont="1" applyBorder="1" applyProtection="1"/>
    <xf numFmtId="0" fontId="15" fillId="0" borderId="66" xfId="0" applyFont="1" applyBorder="1" applyProtection="1"/>
    <xf numFmtId="170" fontId="15" fillId="3" borderId="18" xfId="0" applyNumberFormat="1" applyFont="1" applyFill="1" applyBorder="1" applyAlignment="1" applyProtection="1">
      <alignment horizontal="center" vertical="center" wrapText="1"/>
    </xf>
    <xf numFmtId="170" fontId="15" fillId="3" borderId="1" xfId="0" applyNumberFormat="1" applyFont="1" applyFill="1" applyBorder="1" applyAlignment="1" applyProtection="1">
      <alignment horizontal="center" vertical="center" wrapText="1"/>
    </xf>
    <xf numFmtId="0" fontId="12" fillId="0" borderId="38" xfId="0" applyFont="1" applyFill="1" applyBorder="1" applyProtection="1"/>
    <xf numFmtId="0" fontId="12" fillId="0" borderId="66" xfId="0" applyFont="1" applyFill="1" applyBorder="1" applyAlignment="1" applyProtection="1">
      <alignment horizontal="center" wrapText="1"/>
    </xf>
    <xf numFmtId="0" fontId="12" fillId="0" borderId="66" xfId="0" applyFont="1" applyFill="1" applyBorder="1" applyAlignment="1" applyProtection="1">
      <alignment horizontal="center"/>
    </xf>
    <xf numFmtId="0" fontId="12" fillId="0" borderId="0" xfId="0" applyFont="1" applyFill="1" applyBorder="1" applyAlignment="1" applyProtection="1">
      <alignment horizontal="centerContinuous"/>
    </xf>
    <xf numFmtId="0" fontId="12" fillId="0" borderId="6" xfId="0" applyFont="1" applyFill="1" applyBorder="1" applyAlignment="1" applyProtection="1">
      <alignment horizontal="centerContinuous"/>
    </xf>
    <xf numFmtId="170" fontId="15" fillId="3" borderId="13" xfId="0" applyNumberFormat="1" applyFont="1" applyFill="1" applyBorder="1" applyAlignment="1" applyProtection="1">
      <alignment horizontal="center" vertical="center" wrapText="1"/>
    </xf>
    <xf numFmtId="0" fontId="15" fillId="3" borderId="20" xfId="0" applyFont="1" applyFill="1" applyBorder="1" applyAlignment="1" applyProtection="1">
      <alignment horizontal="left" vertical="center" wrapText="1"/>
    </xf>
    <xf numFmtId="0" fontId="12" fillId="2" borderId="38"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74" xfId="0" applyFont="1" applyFill="1" applyBorder="1" applyAlignment="1">
      <alignment horizontal="center" vertical="center" wrapText="1"/>
    </xf>
    <xf numFmtId="3" fontId="15" fillId="6" borderId="12" xfId="0" applyNumberFormat="1" applyFont="1" applyFill="1" applyBorder="1" applyAlignment="1" applyProtection="1">
      <alignment horizontal="center" vertical="center" wrapText="1"/>
      <protection locked="0"/>
    </xf>
    <xf numFmtId="3" fontId="15" fillId="6" borderId="15" xfId="0" applyNumberFormat="1" applyFont="1" applyFill="1" applyBorder="1" applyAlignment="1" applyProtection="1">
      <alignment horizontal="center" vertical="center" wrapText="1"/>
      <protection locked="0"/>
    </xf>
    <xf numFmtId="3" fontId="15" fillId="6" borderId="17" xfId="0" applyNumberFormat="1" applyFont="1" applyFill="1" applyBorder="1" applyAlignment="1" applyProtection="1">
      <alignment horizontal="center" vertical="center" wrapText="1"/>
      <protection locked="0"/>
    </xf>
    <xf numFmtId="0" fontId="9" fillId="3" borderId="42" xfId="0" applyFont="1" applyFill="1" applyBorder="1" applyAlignment="1">
      <alignment horizontal="centerContinuous"/>
    </xf>
    <xf numFmtId="165" fontId="15" fillId="3" borderId="46" xfId="0" applyNumberFormat="1" applyFont="1" applyFill="1" applyBorder="1" applyAlignment="1">
      <alignment horizontal="centerContinuous" vertical="center"/>
    </xf>
    <xf numFmtId="0" fontId="9" fillId="3" borderId="47" xfId="0" applyFont="1" applyFill="1" applyBorder="1" applyAlignment="1">
      <alignment horizontal="centerContinuous"/>
    </xf>
    <xf numFmtId="3" fontId="15" fillId="3" borderId="46" xfId="0" applyNumberFormat="1" applyFont="1" applyFill="1" applyBorder="1" applyAlignment="1">
      <alignment horizontal="centerContinuous" vertical="center"/>
    </xf>
    <xf numFmtId="0" fontId="11" fillId="3" borderId="47" xfId="0" applyFont="1" applyFill="1" applyBorder="1" applyAlignment="1">
      <alignment horizontal="centerContinuous" vertical="center"/>
    </xf>
    <xf numFmtId="0" fontId="11" fillId="3" borderId="42" xfId="0" applyFont="1" applyFill="1" applyBorder="1" applyAlignment="1">
      <alignment horizontal="centerContinuous" vertical="center"/>
    </xf>
    <xf numFmtId="0" fontId="11" fillId="3" borderId="47" xfId="0" applyFont="1" applyFill="1" applyBorder="1" applyAlignment="1">
      <alignment horizontal="centerContinuous"/>
    </xf>
    <xf numFmtId="0" fontId="11" fillId="3" borderId="42" xfId="0" applyFont="1" applyFill="1" applyBorder="1" applyAlignment="1">
      <alignment horizontal="centerContinuous"/>
    </xf>
    <xf numFmtId="3" fontId="15" fillId="3" borderId="10" xfId="0" applyNumberFormat="1" applyFont="1" applyFill="1" applyBorder="1" applyAlignment="1">
      <alignment horizontal="centerContinuous" vertical="center"/>
    </xf>
    <xf numFmtId="0" fontId="13" fillId="22" borderId="0" xfId="3" applyFont="1" applyFill="1" applyBorder="1" applyAlignment="1" applyProtection="1">
      <alignment vertical="center" wrapText="1"/>
      <protection locked="0"/>
    </xf>
    <xf numFmtId="0" fontId="13" fillId="22" borderId="66" xfId="3" applyFont="1" applyFill="1" applyBorder="1" applyAlignment="1" applyProtection="1">
      <alignment vertical="center" wrapText="1"/>
      <protection locked="0"/>
    </xf>
    <xf numFmtId="37" fontId="15" fillId="3" borderId="1" xfId="0" applyNumberFormat="1" applyFont="1" applyFill="1" applyBorder="1" applyAlignment="1">
      <alignment horizontal="center" vertical="center"/>
    </xf>
    <xf numFmtId="0" fontId="12" fillId="2" borderId="57" xfId="0" applyFont="1" applyFill="1" applyBorder="1" applyAlignment="1" applyProtection="1">
      <alignment horizontal="center" vertical="center" wrapText="1"/>
    </xf>
    <xf numFmtId="0" fontId="11" fillId="3" borderId="20" xfId="0" applyFont="1" applyFill="1" applyBorder="1" applyAlignment="1">
      <alignment horizontal="centerContinuous" vertical="center"/>
    </xf>
    <xf numFmtId="0" fontId="11" fillId="3" borderId="11" xfId="0" applyFont="1" applyFill="1" applyBorder="1" applyAlignment="1">
      <alignment horizontal="centerContinuous" vertical="center"/>
    </xf>
    <xf numFmtId="0" fontId="12" fillId="2" borderId="5" xfId="0" applyFont="1" applyFill="1" applyBorder="1" applyAlignment="1">
      <alignment horizontal="center" vertical="center" wrapText="1"/>
    </xf>
    <xf numFmtId="0" fontId="15" fillId="9" borderId="40" xfId="0" applyFont="1" applyFill="1" applyBorder="1"/>
    <xf numFmtId="0" fontId="15" fillId="9" borderId="72" xfId="0" applyFont="1" applyFill="1" applyBorder="1"/>
    <xf numFmtId="170" fontId="15" fillId="5" borderId="1" xfId="0" applyNumberFormat="1" applyFont="1" applyFill="1" applyBorder="1" applyAlignment="1" applyProtection="1">
      <alignment horizontal="center" vertical="center" wrapText="1"/>
      <protection locked="0"/>
    </xf>
    <xf numFmtId="3" fontId="15" fillId="3" borderId="1" xfId="0" applyNumberFormat="1" applyFont="1" applyFill="1" applyBorder="1" applyAlignment="1" applyProtection="1">
      <alignment horizontal="center" vertical="center" wrapText="1"/>
    </xf>
    <xf numFmtId="170" fontId="15" fillId="5" borderId="13" xfId="0" applyNumberFormat="1" applyFont="1" applyFill="1" applyBorder="1" applyAlignment="1" applyProtection="1">
      <alignment horizontal="center" vertical="center" wrapText="1"/>
      <protection locked="0"/>
    </xf>
    <xf numFmtId="170" fontId="15" fillId="5" borderId="18" xfId="0" applyNumberFormat="1" applyFont="1" applyFill="1" applyBorder="1" applyAlignment="1" applyProtection="1">
      <alignment horizontal="center" vertical="center" wrapText="1"/>
      <protection locked="0"/>
    </xf>
    <xf numFmtId="0" fontId="9" fillId="0" borderId="1" xfId="0" applyFont="1" applyFill="1" applyBorder="1" applyProtection="1"/>
    <xf numFmtId="0" fontId="15" fillId="3" borderId="68" xfId="0" applyFont="1" applyFill="1" applyBorder="1"/>
    <xf numFmtId="0" fontId="12" fillId="3" borderId="7" xfId="0" applyFont="1" applyFill="1" applyBorder="1" applyAlignment="1">
      <alignment horizontal="left" vertical="center" indent="3"/>
    </xf>
    <xf numFmtId="0" fontId="15" fillId="9" borderId="68" xfId="0" applyFont="1" applyFill="1" applyBorder="1"/>
    <xf numFmtId="0" fontId="15" fillId="6" borderId="13"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left" vertical="center" wrapText="1"/>
      <protection locked="0"/>
    </xf>
    <xf numFmtId="0" fontId="15" fillId="6" borderId="16" xfId="0" applyFont="1" applyFill="1" applyBorder="1" applyAlignment="1" applyProtection="1">
      <alignment horizontal="left" vertical="center" wrapText="1"/>
      <protection locked="0"/>
    </xf>
    <xf numFmtId="0" fontId="11" fillId="3" borderId="17" xfId="0" applyFont="1" applyFill="1" applyBorder="1" applyAlignment="1">
      <alignment horizontal="center" vertical="center" wrapText="1"/>
    </xf>
    <xf numFmtId="0" fontId="15" fillId="3" borderId="77" xfId="0" applyFont="1" applyFill="1" applyBorder="1" applyAlignment="1" applyProtection="1">
      <alignment horizontal="left" vertical="center" wrapText="1"/>
    </xf>
    <xf numFmtId="0" fontId="15" fillId="6" borderId="19" xfId="0" applyFont="1" applyFill="1" applyBorder="1" applyAlignment="1" applyProtection="1">
      <alignment horizontal="left" vertical="center" wrapText="1"/>
      <protection locked="0"/>
    </xf>
    <xf numFmtId="3" fontId="15" fillId="3" borderId="69" xfId="0" applyNumberFormat="1" applyFont="1" applyFill="1" applyBorder="1" applyAlignment="1" applyProtection="1">
      <alignment horizontal="center" vertical="center" wrapText="1"/>
    </xf>
    <xf numFmtId="170" fontId="15" fillId="3" borderId="75" xfId="0" applyNumberFormat="1" applyFont="1" applyFill="1" applyBorder="1" applyAlignment="1" applyProtection="1">
      <alignment horizontal="center" vertical="center" wrapText="1"/>
    </xf>
    <xf numFmtId="0" fontId="15" fillId="9" borderId="71" xfId="0" applyFont="1" applyFill="1" applyBorder="1"/>
    <xf numFmtId="3" fontId="15" fillId="3" borderId="72" xfId="0" applyNumberFormat="1" applyFont="1" applyFill="1" applyBorder="1" applyAlignment="1" applyProtection="1">
      <alignment horizontal="center" vertical="center" wrapText="1"/>
    </xf>
    <xf numFmtId="170" fontId="15" fillId="3" borderId="71" xfId="0" applyNumberFormat="1" applyFont="1" applyFill="1" applyBorder="1" applyAlignment="1" applyProtection="1">
      <alignment horizontal="center" vertical="center" wrapText="1"/>
    </xf>
    <xf numFmtId="37" fontId="12" fillId="0" borderId="40" xfId="0" applyNumberFormat="1" applyFont="1" applyFill="1" applyBorder="1" applyAlignment="1">
      <alignment horizontal="center" vertical="center"/>
    </xf>
    <xf numFmtId="37" fontId="12" fillId="0" borderId="72" xfId="0" applyNumberFormat="1" applyFont="1" applyFill="1" applyBorder="1" applyAlignment="1">
      <alignment horizontal="center" vertical="center"/>
    </xf>
    <xf numFmtId="37" fontId="15" fillId="3" borderId="18" xfId="0" applyNumberFormat="1" applyFont="1" applyFill="1" applyBorder="1" applyAlignment="1">
      <alignment horizontal="center" vertical="center"/>
    </xf>
    <xf numFmtId="0" fontId="15" fillId="3" borderId="46" xfId="0" applyFont="1" applyFill="1" applyBorder="1" applyAlignment="1">
      <alignment horizontal="centerContinuous" vertical="center"/>
    </xf>
    <xf numFmtId="0" fontId="22" fillId="7" borderId="20" xfId="0" applyFont="1" applyFill="1" applyBorder="1" applyAlignment="1">
      <alignment horizontal="centerContinuous" vertical="center"/>
    </xf>
    <xf numFmtId="0" fontId="22" fillId="7" borderId="11" xfId="0" applyFont="1" applyFill="1" applyBorder="1" applyAlignment="1">
      <alignment horizontal="centerContinuous" vertical="center"/>
    </xf>
    <xf numFmtId="0" fontId="13" fillId="22" borderId="46" xfId="3" applyFill="1" applyBorder="1" applyAlignment="1" applyProtection="1">
      <alignment vertical="center"/>
      <protection locked="0"/>
    </xf>
    <xf numFmtId="0" fontId="13" fillId="22" borderId="74" xfId="3" applyFill="1" applyBorder="1" applyAlignment="1" applyProtection="1">
      <alignment vertical="center"/>
      <protection locked="0"/>
    </xf>
    <xf numFmtId="0" fontId="15" fillId="3" borderId="1"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37" fontId="12" fillId="0" borderId="73" xfId="0" applyNumberFormat="1" applyFont="1" applyFill="1" applyBorder="1" applyAlignment="1">
      <alignment horizontal="center" vertical="center"/>
    </xf>
    <xf numFmtId="0" fontId="13" fillId="0" borderId="6" xfId="3" applyFill="1" applyBorder="1" applyAlignment="1" applyProtection="1">
      <protection locked="0"/>
    </xf>
    <xf numFmtId="37" fontId="15" fillId="3" borderId="42" xfId="0" applyNumberFormat="1" applyFont="1" applyFill="1" applyBorder="1" applyAlignment="1">
      <alignment horizontal="center" vertical="center"/>
    </xf>
    <xf numFmtId="0" fontId="12" fillId="7" borderId="32" xfId="0" applyFont="1" applyFill="1" applyBorder="1" applyAlignment="1">
      <alignment horizontal="centerContinuous" vertical="center" wrapText="1"/>
    </xf>
    <xf numFmtId="0" fontId="12" fillId="7" borderId="36" xfId="0" applyFont="1" applyFill="1" applyBorder="1" applyAlignment="1">
      <alignment horizontal="center" vertical="center" wrapText="1"/>
    </xf>
    <xf numFmtId="37" fontId="15" fillId="3" borderId="14" xfId="0" applyNumberFormat="1" applyFont="1" applyFill="1" applyBorder="1" applyAlignment="1">
      <alignment horizontal="center" vertical="center"/>
    </xf>
    <xf numFmtId="37" fontId="12" fillId="0" borderId="8" xfId="0" applyNumberFormat="1" applyFont="1" applyFill="1" applyBorder="1" applyAlignment="1">
      <alignment horizontal="center" vertical="center"/>
    </xf>
    <xf numFmtId="37" fontId="15" fillId="9" borderId="16" xfId="0" applyNumberFormat="1" applyFont="1" applyFill="1" applyBorder="1" applyAlignment="1">
      <alignment horizontal="center" vertical="center"/>
    </xf>
    <xf numFmtId="37" fontId="15" fillId="9" borderId="19" xfId="0" applyNumberFormat="1" applyFont="1" applyFill="1" applyBorder="1" applyAlignment="1">
      <alignment horizontal="center" vertical="center"/>
    </xf>
    <xf numFmtId="0" fontId="12" fillId="7" borderId="68" xfId="0" applyFont="1" applyFill="1" applyBorder="1" applyAlignment="1">
      <alignment horizontal="center" vertical="center" wrapText="1"/>
    </xf>
    <xf numFmtId="0" fontId="12" fillId="7" borderId="73" xfId="0" applyFont="1" applyFill="1" applyBorder="1" applyAlignment="1">
      <alignment horizontal="centerContinuous" vertical="center" wrapText="1"/>
    </xf>
    <xf numFmtId="0" fontId="12" fillId="7" borderId="60" xfId="0" applyFont="1" applyFill="1" applyBorder="1" applyAlignment="1">
      <alignment horizontal="centerContinuous" vertical="center" wrapText="1"/>
    </xf>
    <xf numFmtId="0" fontId="12" fillId="7" borderId="40" xfId="0" applyFont="1" applyFill="1" applyBorder="1" applyAlignment="1">
      <alignment horizontal="center" vertical="center" wrapText="1"/>
    </xf>
    <xf numFmtId="3" fontId="15" fillId="9" borderId="16" xfId="0" applyNumberFormat="1" applyFont="1" applyFill="1" applyBorder="1" applyAlignment="1">
      <alignment horizontal="center" vertical="center"/>
    </xf>
    <xf numFmtId="3" fontId="15" fillId="9" borderId="19" xfId="0" applyNumberFormat="1" applyFont="1" applyFill="1" applyBorder="1" applyAlignment="1">
      <alignment horizontal="center" vertical="center"/>
    </xf>
    <xf numFmtId="0" fontId="12" fillId="7" borderId="32" xfId="0" applyFont="1" applyFill="1" applyBorder="1" applyAlignment="1">
      <alignment horizontal="centerContinuous" vertical="center"/>
    </xf>
    <xf numFmtId="0" fontId="12" fillId="2" borderId="7"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3" xfId="0" applyFont="1" applyFill="1" applyBorder="1" applyAlignment="1">
      <alignment horizontal="center" vertical="center" wrapText="1"/>
    </xf>
    <xf numFmtId="3" fontId="15" fillId="5" borderId="58" xfId="0" applyNumberFormat="1" applyFont="1" applyFill="1" applyBorder="1" applyAlignment="1" applyProtection="1">
      <alignment horizontal="center" vertical="center" wrapText="1"/>
      <protection locked="0"/>
    </xf>
    <xf numFmtId="3" fontId="15" fillId="5" borderId="10" xfId="0" applyNumberFormat="1" applyFont="1" applyFill="1" applyBorder="1" applyAlignment="1" applyProtection="1">
      <alignment horizontal="center" vertical="center" wrapText="1"/>
      <protection locked="0"/>
    </xf>
    <xf numFmtId="3" fontId="15" fillId="5" borderId="50" xfId="0" applyNumberFormat="1" applyFont="1" applyFill="1" applyBorder="1" applyAlignment="1" applyProtection="1">
      <alignment horizontal="center" vertical="center" wrapText="1"/>
      <protection locked="0"/>
    </xf>
    <xf numFmtId="170" fontId="15" fillId="3" borderId="12" xfId="0" applyNumberFormat="1" applyFont="1" applyFill="1" applyBorder="1" applyAlignment="1" applyProtection="1">
      <alignment horizontal="center" vertical="center" wrapText="1"/>
    </xf>
    <xf numFmtId="0" fontId="15" fillId="3" borderId="14" xfId="0" applyFont="1" applyFill="1" applyBorder="1" applyAlignment="1" applyProtection="1">
      <alignment horizontal="center" vertical="center" wrapText="1"/>
    </xf>
    <xf numFmtId="170" fontId="15" fillId="3" borderId="15" xfId="0" applyNumberFormat="1"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170" fontId="15" fillId="3" borderId="17" xfId="0" applyNumberFormat="1" applyFont="1" applyFill="1" applyBorder="1" applyAlignment="1" applyProtection="1">
      <alignment horizontal="center" vertical="center" wrapText="1"/>
    </xf>
    <xf numFmtId="0" fontId="15" fillId="3" borderId="19" xfId="0" applyFont="1" applyFill="1" applyBorder="1" applyAlignment="1" applyProtection="1">
      <alignment horizontal="center" vertical="center" wrapText="1"/>
    </xf>
    <xf numFmtId="0" fontId="15" fillId="9" borderId="73" xfId="0" applyFont="1" applyFill="1" applyBorder="1"/>
    <xf numFmtId="0" fontId="12" fillId="7" borderId="59" xfId="0" applyFont="1" applyFill="1" applyBorder="1" applyAlignment="1">
      <alignment horizontal="center" vertical="center" wrapText="1"/>
    </xf>
    <xf numFmtId="37" fontId="12" fillId="0" borderId="71" xfId="0" applyNumberFormat="1" applyFont="1" applyFill="1" applyBorder="1" applyAlignment="1">
      <alignment horizontal="center" vertical="center"/>
    </xf>
    <xf numFmtId="37" fontId="15" fillId="3" borderId="68" xfId="0" applyNumberFormat="1" applyFont="1" applyFill="1" applyBorder="1" applyAlignment="1">
      <alignment horizontal="center" vertical="center"/>
    </xf>
    <xf numFmtId="37" fontId="12" fillId="0" borderId="7" xfId="0" applyNumberFormat="1" applyFont="1" applyFill="1" applyBorder="1" applyAlignment="1">
      <alignment horizontal="center" vertical="center"/>
    </xf>
    <xf numFmtId="3" fontId="15" fillId="3" borderId="12" xfId="0" applyNumberFormat="1" applyFont="1" applyFill="1" applyBorder="1" applyAlignment="1" applyProtection="1">
      <alignment horizontal="center" vertical="center" wrapText="1"/>
    </xf>
    <xf numFmtId="3" fontId="15" fillId="3" borderId="13" xfId="0" applyNumberFormat="1" applyFont="1" applyFill="1" applyBorder="1" applyAlignment="1" applyProtection="1">
      <alignment horizontal="center" vertical="center" wrapText="1"/>
    </xf>
    <xf numFmtId="3" fontId="15" fillId="3" borderId="15" xfId="0" applyNumberFormat="1" applyFont="1" applyFill="1" applyBorder="1" applyAlignment="1" applyProtection="1">
      <alignment horizontal="center" vertical="center" wrapText="1"/>
    </xf>
    <xf numFmtId="3" fontId="15" fillId="3" borderId="17"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0" fontId="15" fillId="3" borderId="58"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50" xfId="0" applyFont="1" applyFill="1" applyBorder="1" applyAlignment="1" applyProtection="1">
      <alignment horizontal="center" vertical="center" wrapText="1"/>
    </xf>
    <xf numFmtId="4" fontId="15" fillId="6" borderId="13" xfId="0" applyNumberFormat="1" applyFont="1" applyFill="1" applyBorder="1" applyAlignment="1" applyProtection="1">
      <alignment horizontal="center" vertical="center" wrapText="1"/>
      <protection locked="0"/>
    </xf>
    <xf numFmtId="4" fontId="15" fillId="6" borderId="1" xfId="0" applyNumberFormat="1" applyFont="1" applyFill="1" applyBorder="1" applyAlignment="1" applyProtection="1">
      <alignment horizontal="center" vertical="center" wrapText="1"/>
      <protection locked="0"/>
    </xf>
    <xf numFmtId="4" fontId="15" fillId="6" borderId="18" xfId="0" applyNumberFormat="1" applyFont="1" applyFill="1" applyBorder="1" applyAlignment="1" applyProtection="1">
      <alignment horizontal="center" vertical="center" wrapText="1"/>
      <protection locked="0"/>
    </xf>
    <xf numFmtId="4" fontId="15" fillId="5" borderId="13" xfId="0" applyNumberFormat="1" applyFont="1" applyFill="1" applyBorder="1" applyAlignment="1" applyProtection="1">
      <alignment horizontal="center" vertical="center" wrapText="1"/>
      <protection locked="0"/>
    </xf>
    <xf numFmtId="4" fontId="15" fillId="5" borderId="1" xfId="0" applyNumberFormat="1" applyFont="1" applyFill="1" applyBorder="1" applyAlignment="1" applyProtection="1">
      <alignment horizontal="center" vertical="center" wrapText="1"/>
      <protection locked="0"/>
    </xf>
    <xf numFmtId="4" fontId="15" fillId="5" borderId="18" xfId="0" applyNumberFormat="1" applyFont="1" applyFill="1" applyBorder="1" applyAlignment="1" applyProtection="1">
      <alignment horizontal="center" vertical="center" wrapText="1"/>
      <protection locked="0"/>
    </xf>
    <xf numFmtId="3" fontId="15" fillId="5" borderId="21" xfId="0" applyNumberFormat="1" applyFont="1" applyFill="1" applyBorder="1" applyAlignment="1" applyProtection="1">
      <alignment horizontal="center" vertical="center" wrapText="1"/>
      <protection locked="0"/>
    </xf>
    <xf numFmtId="3" fontId="15" fillId="5" borderId="11" xfId="0" applyNumberFormat="1" applyFont="1" applyFill="1" applyBorder="1" applyAlignment="1" applyProtection="1">
      <alignment horizontal="center" vertical="center" wrapText="1"/>
      <protection locked="0"/>
    </xf>
    <xf numFmtId="3" fontId="15" fillId="5" borderId="19" xfId="0" applyNumberFormat="1" applyFont="1" applyFill="1" applyBorder="1" applyAlignment="1" applyProtection="1">
      <alignment horizontal="center" vertical="center" wrapText="1"/>
      <protection locked="0"/>
    </xf>
    <xf numFmtId="37" fontId="15" fillId="3" borderId="21" xfId="0" applyNumberFormat="1" applyFont="1" applyFill="1" applyBorder="1" applyAlignment="1">
      <alignment horizontal="center" vertical="center"/>
    </xf>
    <xf numFmtId="3" fontId="15" fillId="3" borderId="14" xfId="0" applyNumberFormat="1" applyFont="1" applyFill="1" applyBorder="1" applyAlignment="1">
      <alignment horizontal="center" vertical="center"/>
    </xf>
    <xf numFmtId="0" fontId="15" fillId="22" borderId="0" xfId="0" applyFont="1" applyFill="1" applyBorder="1"/>
    <xf numFmtId="0" fontId="15" fillId="22" borderId="5" xfId="0" applyFont="1" applyFill="1" applyBorder="1"/>
    <xf numFmtId="0" fontId="15" fillId="22" borderId="6" xfId="0" applyFont="1" applyFill="1" applyBorder="1"/>
    <xf numFmtId="0" fontId="13" fillId="22" borderId="5" xfId="3" applyFill="1" applyBorder="1" applyAlignment="1" applyProtection="1">
      <alignment vertical="center"/>
      <protection locked="0"/>
    </xf>
    <xf numFmtId="0" fontId="13" fillId="22" borderId="6" xfId="3" applyFont="1" applyFill="1" applyBorder="1" applyAlignment="1" applyProtection="1">
      <alignment vertical="center" wrapText="1"/>
      <protection locked="0"/>
    </xf>
    <xf numFmtId="0" fontId="14" fillId="0" borderId="33" xfId="8" applyFont="1" applyBorder="1" applyAlignment="1">
      <alignment horizontal="centerContinuous" vertical="center"/>
    </xf>
    <xf numFmtId="0" fontId="15" fillId="0" borderId="34" xfId="0" applyFont="1" applyBorder="1" applyAlignment="1">
      <alignment horizontal="centerContinuous"/>
    </xf>
    <xf numFmtId="0" fontId="15" fillId="0" borderId="32" xfId="0" applyFont="1" applyBorder="1" applyAlignment="1">
      <alignment horizontal="centerContinuous"/>
    </xf>
    <xf numFmtId="0" fontId="11" fillId="6" borderId="5" xfId="8" applyFont="1" applyFill="1" applyBorder="1" applyAlignment="1">
      <alignment vertical="center"/>
    </xf>
    <xf numFmtId="0" fontId="15" fillId="0" borderId="6" xfId="0" applyFont="1" applyBorder="1"/>
    <xf numFmtId="0" fontId="11" fillId="23" borderId="5" xfId="8" applyFont="1" applyFill="1" applyBorder="1" applyAlignment="1">
      <alignment vertical="center"/>
    </xf>
    <xf numFmtId="0" fontId="11" fillId="3" borderId="5" xfId="8" applyFont="1" applyFill="1" applyBorder="1" applyAlignment="1">
      <alignment vertical="center"/>
    </xf>
    <xf numFmtId="0" fontId="11" fillId="22" borderId="7" xfId="8" applyFont="1" applyFill="1" applyBorder="1" applyAlignment="1">
      <alignment vertical="center"/>
    </xf>
    <xf numFmtId="0" fontId="15" fillId="0" borderId="8" xfId="0" applyFont="1" applyBorder="1"/>
    <xf numFmtId="0" fontId="15" fillId="0" borderId="9" xfId="0" applyFont="1" applyBorder="1"/>
    <xf numFmtId="0" fontId="11" fillId="0" borderId="0" xfId="8" applyFont="1" applyAlignment="1">
      <alignment vertical="top"/>
    </xf>
    <xf numFmtId="0" fontId="9" fillId="16" borderId="0" xfId="0" applyFont="1" applyFill="1"/>
  </cellXfs>
  <cellStyles count="13">
    <cellStyle name="Comma 3" xfId="1" xr:uid="{00000000-0005-0000-0000-000000000000}"/>
    <cellStyle name="Currency" xfId="7" builtinId="4"/>
    <cellStyle name="Hyperlink" xfId="3" builtinId="8" customBuiltin="1"/>
    <cellStyle name="Hyperlink 2" xfId="11" xr:uid="{00000000-0005-0000-0000-000003000000}"/>
    <cellStyle name="Hyperlink 3" xfId="12" xr:uid="{00000000-0005-0000-0000-000004000000}"/>
    <cellStyle name="Normal" xfId="0" builtinId="0"/>
    <cellStyle name="Normal 10" xfId="10" xr:uid="{00000000-0005-0000-0000-000006000000}"/>
    <cellStyle name="Normal 11" xfId="8" xr:uid="{00000000-0005-0000-0000-000007000000}"/>
    <cellStyle name="Normal 13" xfId="4" xr:uid="{00000000-0005-0000-0000-000008000000}"/>
    <cellStyle name="Normal 14" xfId="6" xr:uid="{00000000-0005-0000-0000-000009000000}"/>
    <cellStyle name="Normal 16" xfId="9" xr:uid="{00000000-0005-0000-0000-00000A000000}"/>
    <cellStyle name="Normal 3" xfId="5" xr:uid="{00000000-0005-0000-0000-00000B000000}"/>
    <cellStyle name="Normal 9" xfId="2" xr:uid="{00000000-0005-0000-0000-00000C000000}"/>
  </cellStyles>
  <dxfs count="92">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numFmt numFmtId="0" formatCode="General"/>
      <protection locked="0" hidden="0"/>
    </dxf>
    <dxf>
      <numFmt numFmtId="0" formatCode="General"/>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numFmt numFmtId="19" formatCode="m/d/yyyy"/>
      <protection locked="0" hidden="0"/>
    </dxf>
    <dxf>
      <numFmt numFmtId="3" formatCode="#,##0"/>
      <protection locked="0" hidden="0"/>
    </dxf>
    <dxf>
      <numFmt numFmtId="3" formatCode="#,##0"/>
      <protection locked="0" hidden="0"/>
    </dxf>
    <dxf>
      <numFmt numFmtId="19" formatCode="m/d/yyyy"/>
      <protection locked="0" hidden="0"/>
    </dxf>
    <dxf>
      <numFmt numFmtId="0" formatCode="General"/>
      <protection locked="0" hidden="0"/>
    </dxf>
    <dxf>
      <protection locked="0" hidden="0"/>
    </dxf>
    <dxf>
      <numFmt numFmtId="0" formatCode="General"/>
      <protection locked="0" hidden="0"/>
    </dxf>
    <dxf>
      <numFmt numFmtId="0" formatCode="General"/>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numFmt numFmtId="19" formatCode="m/d/yyyy"/>
      <protection locked="0" hidden="0"/>
    </dxf>
    <dxf>
      <protection locked="0" hidden="0"/>
    </dxf>
    <dxf>
      <numFmt numFmtId="0" formatCode="General"/>
      <protection locked="0" hidden="0"/>
    </dxf>
    <dxf>
      <protection locked="0" hidden="0"/>
    </dxf>
    <dxf>
      <protection locked="0" hidden="0"/>
    </dxf>
    <dxf>
      <numFmt numFmtId="0" formatCode="General"/>
      <protection locked="0" hidden="0"/>
    </dxf>
    <dxf>
      <protection locked="0" hidden="0"/>
    </dxf>
    <dxf>
      <protection locked="0" hidden="0"/>
    </dxf>
    <dxf>
      <protection locked="0" hidden="0"/>
    </dxf>
    <dxf>
      <border outline="0">
        <top style="thin">
          <color auto="1"/>
        </top>
      </border>
    </dxf>
    <dxf>
      <protection locked="0" hidden="0"/>
    </dxf>
    <dxf>
      <border>
        <bottom style="thin">
          <color indexed="64"/>
        </bottom>
      </border>
    </dxf>
    <dxf>
      <font>
        <b/>
        <i val="0"/>
        <strike val="0"/>
        <condense val="0"/>
        <extend val="0"/>
        <outline val="0"/>
        <shadow val="0"/>
        <u val="none"/>
        <vertAlign val="baseline"/>
        <sz val="9"/>
        <color auto="1"/>
        <name val="Arial"/>
        <scheme val="none"/>
      </font>
      <fill>
        <patternFill patternType="solid">
          <fgColor indexed="64"/>
          <bgColor rgb="FFB1A0C7"/>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rgb="FFFF0000"/>
      </font>
      <fill>
        <patternFill>
          <bgColor theme="1"/>
        </patternFill>
      </fill>
    </dxf>
    <dxf>
      <font>
        <color rgb="FFFF0000"/>
      </font>
      <fill>
        <patternFill>
          <bgColor theme="1"/>
        </patternFill>
      </fill>
    </dxf>
    <dxf>
      <fill>
        <patternFill>
          <bgColor theme="9" tint="0.79998168889431442"/>
        </patternFill>
      </fill>
    </dxf>
    <dxf>
      <font>
        <color rgb="FFFF0000"/>
      </font>
      <fill>
        <patternFill>
          <bgColor theme="1"/>
        </patternFill>
      </fill>
    </dxf>
    <dxf>
      <font>
        <color rgb="FFFF0000"/>
      </font>
      <fill>
        <patternFill>
          <bgColor theme="1"/>
        </patternFill>
      </fill>
    </dxf>
  </dxfs>
  <tableStyles count="0" defaultTableStyle="TableStyleMedium2" defaultPivotStyle="PivotStyleLight16"/>
  <colors>
    <mruColors>
      <color rgb="FF0000FF"/>
      <color rgb="FFFA7D00"/>
      <color rgb="FFFFFF66"/>
      <color rgb="FF009F4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265585</xdr:colOff>
      <xdr:row>6</xdr:row>
      <xdr:rowOff>240165</xdr:rowOff>
    </xdr:to>
    <xdr:pic>
      <xdr:nvPicPr>
        <xdr:cNvPr id="5" name="Picture 4" descr="California Climate Investments Logo and Title">
          <a:extLst>
            <a:ext uri="{FF2B5EF4-FFF2-40B4-BE49-F238E27FC236}">
              <a16:creationId xmlns:a16="http://schemas.microsoft.com/office/drawing/2014/main" id="{1F2964AB-F0F3-42C5-8361-B7D6338C1C9D}"/>
            </a:ext>
          </a:extLst>
        </xdr:cNvPr>
        <xdr:cNvPicPr>
          <a:picLocks noChangeAspect="1"/>
        </xdr:cNvPicPr>
      </xdr:nvPicPr>
      <xdr:blipFill>
        <a:blip xmlns:r="http://schemas.openxmlformats.org/officeDocument/2006/relationships" r:embed="rId1"/>
        <a:stretch>
          <a:fillRect/>
        </a:stretch>
      </xdr:blipFill>
      <xdr:spPr>
        <a:xfrm>
          <a:off x="285750" y="0"/>
          <a:ext cx="9114310" cy="15546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1323975</xdr:colOff>
      <xdr:row>7</xdr:row>
      <xdr:rowOff>30615</xdr:rowOff>
    </xdr:to>
    <xdr:pic>
      <xdr:nvPicPr>
        <xdr:cNvPr id="3" name="Picture 2" descr="California Climate Investments Logo and Title">
          <a:extLst>
            <a:ext uri="{FF2B5EF4-FFF2-40B4-BE49-F238E27FC236}">
              <a16:creationId xmlns:a16="http://schemas.microsoft.com/office/drawing/2014/main" id="{8CE81507-AA59-47AC-8A13-70EFC164BBA3}"/>
            </a:ext>
          </a:extLst>
        </xdr:cNvPr>
        <xdr:cNvPicPr>
          <a:picLocks noChangeAspect="1"/>
        </xdr:cNvPicPr>
      </xdr:nvPicPr>
      <xdr:blipFill rotWithShape="1">
        <a:blip xmlns:r="http://schemas.openxmlformats.org/officeDocument/2006/relationships" r:embed="rId1"/>
        <a:srcRect r="9080"/>
        <a:stretch/>
      </xdr:blipFill>
      <xdr:spPr>
        <a:xfrm>
          <a:off x="285750" y="0"/>
          <a:ext cx="8286750" cy="15546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504825</xdr:colOff>
      <xdr:row>7</xdr:row>
      <xdr:rowOff>30615</xdr:rowOff>
    </xdr:to>
    <xdr:pic>
      <xdr:nvPicPr>
        <xdr:cNvPr id="4" name="Picture 3" descr="California Climate Investments Logo and Title">
          <a:extLst>
            <a:ext uri="{FF2B5EF4-FFF2-40B4-BE49-F238E27FC236}">
              <a16:creationId xmlns:a16="http://schemas.microsoft.com/office/drawing/2014/main" id="{187F98FA-3B9D-4746-85A1-7A6C3D2D6C9F}"/>
            </a:ext>
          </a:extLst>
        </xdr:cNvPr>
        <xdr:cNvPicPr>
          <a:picLocks noChangeAspect="1"/>
        </xdr:cNvPicPr>
      </xdr:nvPicPr>
      <xdr:blipFill rotWithShape="1">
        <a:blip xmlns:r="http://schemas.openxmlformats.org/officeDocument/2006/relationships" r:embed="rId1"/>
        <a:srcRect r="20889"/>
        <a:stretch/>
      </xdr:blipFill>
      <xdr:spPr>
        <a:xfrm>
          <a:off x="285750" y="0"/>
          <a:ext cx="7210425" cy="15546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3237385</xdr:colOff>
      <xdr:row>7</xdr:row>
      <xdr:rowOff>30615</xdr:rowOff>
    </xdr:to>
    <xdr:pic>
      <xdr:nvPicPr>
        <xdr:cNvPr id="3" name="Picture 2" descr="California Climate Investments Logo and Title">
          <a:extLst>
            <a:ext uri="{FF2B5EF4-FFF2-40B4-BE49-F238E27FC236}">
              <a16:creationId xmlns:a16="http://schemas.microsoft.com/office/drawing/2014/main" id="{F4C4FF3B-F9D0-4E19-ADC1-8DDF13E0DA36}"/>
            </a:ext>
          </a:extLst>
        </xdr:cNvPr>
        <xdr:cNvPicPr>
          <a:picLocks noChangeAspect="1"/>
        </xdr:cNvPicPr>
      </xdr:nvPicPr>
      <xdr:blipFill>
        <a:blip xmlns:r="http://schemas.openxmlformats.org/officeDocument/2006/relationships" r:embed="rId1"/>
        <a:stretch>
          <a:fillRect/>
        </a:stretch>
      </xdr:blipFill>
      <xdr:spPr>
        <a:xfrm>
          <a:off x="285750" y="0"/>
          <a:ext cx="9114310" cy="15546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5409085</xdr:colOff>
      <xdr:row>6</xdr:row>
      <xdr:rowOff>240165</xdr:rowOff>
    </xdr:to>
    <xdr:pic>
      <xdr:nvPicPr>
        <xdr:cNvPr id="3" name="Picture 2" descr="California Climate Investments Logo and Title">
          <a:extLst>
            <a:ext uri="{FF2B5EF4-FFF2-40B4-BE49-F238E27FC236}">
              <a16:creationId xmlns:a16="http://schemas.microsoft.com/office/drawing/2014/main" id="{A67A3E32-612E-4161-8B2C-C7AA89F843AE}"/>
            </a:ext>
          </a:extLst>
        </xdr:cNvPr>
        <xdr:cNvPicPr>
          <a:picLocks noChangeAspect="1"/>
        </xdr:cNvPicPr>
      </xdr:nvPicPr>
      <xdr:blipFill>
        <a:blip xmlns:r="http://schemas.openxmlformats.org/officeDocument/2006/relationships" r:embed="rId1"/>
        <a:stretch>
          <a:fillRect/>
        </a:stretch>
      </xdr:blipFill>
      <xdr:spPr>
        <a:xfrm>
          <a:off x="285750" y="0"/>
          <a:ext cx="9114310" cy="15546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1209675</xdr:colOff>
      <xdr:row>7</xdr:row>
      <xdr:rowOff>59190</xdr:rowOff>
    </xdr:to>
    <xdr:pic>
      <xdr:nvPicPr>
        <xdr:cNvPr id="3" name="Picture 2" descr="California Climate Investments Logo and Title">
          <a:extLst>
            <a:ext uri="{FF2B5EF4-FFF2-40B4-BE49-F238E27FC236}">
              <a16:creationId xmlns:a16="http://schemas.microsoft.com/office/drawing/2014/main" id="{F0C65788-CD4E-4EE5-9EFC-770A594C150E}"/>
            </a:ext>
          </a:extLst>
        </xdr:cNvPr>
        <xdr:cNvPicPr>
          <a:picLocks noChangeAspect="1"/>
        </xdr:cNvPicPr>
      </xdr:nvPicPr>
      <xdr:blipFill rotWithShape="1">
        <a:blip xmlns:r="http://schemas.openxmlformats.org/officeDocument/2006/relationships" r:embed="rId1"/>
        <a:srcRect r="8035"/>
        <a:stretch/>
      </xdr:blipFill>
      <xdr:spPr>
        <a:xfrm>
          <a:off x="285750" y="0"/>
          <a:ext cx="8382000" cy="15546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1847850</xdr:colOff>
      <xdr:row>7</xdr:row>
      <xdr:rowOff>28575</xdr:rowOff>
    </xdr:to>
    <xdr:pic>
      <xdr:nvPicPr>
        <xdr:cNvPr id="7" name="Picture 6" descr="California Climate Investments Logo and Title">
          <a:extLst>
            <a:ext uri="{FF2B5EF4-FFF2-40B4-BE49-F238E27FC236}">
              <a16:creationId xmlns:a16="http://schemas.microsoft.com/office/drawing/2014/main" id="{ADA576C8-215F-4B3B-883B-D7812FEE18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9115425" cy="155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1218085</xdr:colOff>
      <xdr:row>7</xdr:row>
      <xdr:rowOff>30615</xdr:rowOff>
    </xdr:to>
    <xdr:pic>
      <xdr:nvPicPr>
        <xdr:cNvPr id="3" name="Picture 2" descr="California Climate Investments Logo and Title">
          <a:extLst>
            <a:ext uri="{FF2B5EF4-FFF2-40B4-BE49-F238E27FC236}">
              <a16:creationId xmlns:a16="http://schemas.microsoft.com/office/drawing/2014/main" id="{6DE41B19-DB8E-4FBD-A15C-AD211C008F3D}"/>
            </a:ext>
          </a:extLst>
        </xdr:cNvPr>
        <xdr:cNvPicPr>
          <a:picLocks noChangeAspect="1"/>
        </xdr:cNvPicPr>
      </xdr:nvPicPr>
      <xdr:blipFill>
        <a:blip xmlns:r="http://schemas.openxmlformats.org/officeDocument/2006/relationships" r:embed="rId1"/>
        <a:stretch>
          <a:fillRect/>
        </a:stretch>
      </xdr:blipFill>
      <xdr:spPr>
        <a:xfrm>
          <a:off x="285750" y="0"/>
          <a:ext cx="9114310" cy="15546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6572250</xdr:colOff>
      <xdr:row>7</xdr:row>
      <xdr:rowOff>11565</xdr:rowOff>
    </xdr:to>
    <xdr:pic>
      <xdr:nvPicPr>
        <xdr:cNvPr id="4" name="Picture 3" descr="California Climate Investments Logo and Title">
          <a:extLst>
            <a:ext uri="{FF2B5EF4-FFF2-40B4-BE49-F238E27FC236}">
              <a16:creationId xmlns:a16="http://schemas.microsoft.com/office/drawing/2014/main" id="{EE489897-8356-4EFC-82A4-7840D05C979D}"/>
            </a:ext>
          </a:extLst>
        </xdr:cNvPr>
        <xdr:cNvPicPr>
          <a:picLocks noChangeAspect="1"/>
        </xdr:cNvPicPr>
      </xdr:nvPicPr>
      <xdr:blipFill rotWithShape="1">
        <a:blip xmlns:r="http://schemas.openxmlformats.org/officeDocument/2006/relationships" r:embed="rId1"/>
        <a:srcRect r="2496"/>
        <a:stretch/>
      </xdr:blipFill>
      <xdr:spPr>
        <a:xfrm>
          <a:off x="285750" y="0"/>
          <a:ext cx="8886825" cy="15546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1722910</xdr:colOff>
      <xdr:row>7</xdr:row>
      <xdr:rowOff>30615</xdr:rowOff>
    </xdr:to>
    <xdr:pic>
      <xdr:nvPicPr>
        <xdr:cNvPr id="3" name="Picture 2" descr="California Climate Investments Logo and Title">
          <a:extLst>
            <a:ext uri="{FF2B5EF4-FFF2-40B4-BE49-F238E27FC236}">
              <a16:creationId xmlns:a16="http://schemas.microsoft.com/office/drawing/2014/main" id="{88A5DBF4-4520-4A36-A3CA-3403D87FD45A}"/>
            </a:ext>
          </a:extLst>
        </xdr:cNvPr>
        <xdr:cNvPicPr>
          <a:picLocks noChangeAspect="1"/>
        </xdr:cNvPicPr>
      </xdr:nvPicPr>
      <xdr:blipFill>
        <a:blip xmlns:r="http://schemas.openxmlformats.org/officeDocument/2006/relationships" r:embed="rId1"/>
        <a:stretch>
          <a:fillRect/>
        </a:stretch>
      </xdr:blipFill>
      <xdr:spPr>
        <a:xfrm>
          <a:off x="0" y="0"/>
          <a:ext cx="9114310" cy="15546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637060</xdr:colOff>
      <xdr:row>7</xdr:row>
      <xdr:rowOff>30615</xdr:rowOff>
    </xdr:to>
    <xdr:pic>
      <xdr:nvPicPr>
        <xdr:cNvPr id="4" name="Picture 3" descr="California Climate Investments Logo and Title">
          <a:extLst>
            <a:ext uri="{FF2B5EF4-FFF2-40B4-BE49-F238E27FC236}">
              <a16:creationId xmlns:a16="http://schemas.microsoft.com/office/drawing/2014/main" id="{3F122135-8DAA-4215-B6DD-902EFCC16E22}"/>
            </a:ext>
          </a:extLst>
        </xdr:cNvPr>
        <xdr:cNvPicPr>
          <a:picLocks noChangeAspect="1"/>
        </xdr:cNvPicPr>
      </xdr:nvPicPr>
      <xdr:blipFill>
        <a:blip xmlns:r="http://schemas.openxmlformats.org/officeDocument/2006/relationships" r:embed="rId1"/>
        <a:stretch>
          <a:fillRect/>
        </a:stretch>
      </xdr:blipFill>
      <xdr:spPr>
        <a:xfrm>
          <a:off x="0" y="0"/>
          <a:ext cx="9114310" cy="15546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4</xdr:col>
      <xdr:colOff>1857376</xdr:colOff>
      <xdr:row>7</xdr:row>
      <xdr:rowOff>30615</xdr:rowOff>
    </xdr:to>
    <xdr:pic>
      <xdr:nvPicPr>
        <xdr:cNvPr id="4" name="Picture 3" descr="California Climate Investments Logo and Title">
          <a:extLst>
            <a:ext uri="{FF2B5EF4-FFF2-40B4-BE49-F238E27FC236}">
              <a16:creationId xmlns:a16="http://schemas.microsoft.com/office/drawing/2014/main" id="{C9E3F6CB-AD67-4077-8205-F4500288CD2F}"/>
            </a:ext>
          </a:extLst>
        </xdr:cNvPr>
        <xdr:cNvPicPr>
          <a:picLocks noChangeAspect="1"/>
        </xdr:cNvPicPr>
      </xdr:nvPicPr>
      <xdr:blipFill rotWithShape="1">
        <a:blip xmlns:r="http://schemas.openxmlformats.org/officeDocument/2006/relationships" r:embed="rId1"/>
        <a:srcRect l="1" r="3645"/>
        <a:stretch/>
      </xdr:blipFill>
      <xdr:spPr>
        <a:xfrm>
          <a:off x="285751" y="0"/>
          <a:ext cx="8782050" cy="15546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IB%20Benefits%20Section\State%20Agency%20Program%20FY%202018-19\CEC%20LCF\QM%20Documents\Comparison%20QMs\cdfa_ddrdp_finalcalculator_1-23-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tipton\AppData\Local\Microsoft\Windows\INetCache\Content.Outlook\W2VXDYV1\agenerg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Alameda</v>
          </cell>
          <cell r="C2" t="str">
            <v>pasture / dirt</v>
          </cell>
          <cell r="F2" t="str">
            <v>Diesel (Distillate No. 1 or 2, gal.)</v>
          </cell>
        </row>
        <row r="3">
          <cell r="A3" t="str">
            <v>Alpine</v>
          </cell>
          <cell r="C3" t="str">
            <v>daily spread</v>
          </cell>
          <cell r="F3" t="str">
            <v>Gasoline (gallons)</v>
          </cell>
        </row>
        <row r="4">
          <cell r="A4" t="str">
            <v>Amador</v>
          </cell>
          <cell r="C4" t="str">
            <v>solid storage</v>
          </cell>
          <cell r="F4" t="str">
            <v>Natural Gas (MMBtu)</v>
          </cell>
        </row>
        <row r="5">
          <cell r="A5" t="str">
            <v>Butte</v>
          </cell>
          <cell r="C5" t="str">
            <v>dry lot</v>
          </cell>
          <cell r="F5" t="str">
            <v>Natural Gas (scf)</v>
          </cell>
        </row>
        <row r="6">
          <cell r="A6" t="str">
            <v>Calaveras</v>
          </cell>
          <cell r="C6" t="str">
            <v>liquid slurry (with natural crust cover)</v>
          </cell>
        </row>
        <row r="7">
          <cell r="A7" t="str">
            <v xml:space="preserve">Colusa </v>
          </cell>
          <cell r="C7" t="str">
            <v>liquid slurry (without natural crust cover)</v>
          </cell>
        </row>
        <row r="8">
          <cell r="A8" t="str">
            <v xml:space="preserve">Contra Costa </v>
          </cell>
          <cell r="C8" t="str">
            <v>pit storage below animal confinements (&lt; 1 month)</v>
          </cell>
        </row>
        <row r="9">
          <cell r="A9" t="str">
            <v xml:space="preserve">Del Norte </v>
          </cell>
          <cell r="C9" t="str">
            <v>pit storage below animal confinements (&gt;1 month)</v>
          </cell>
        </row>
        <row r="10">
          <cell r="A10" t="str">
            <v xml:space="preserve">El Dorado </v>
          </cell>
          <cell r="C10" t="str">
            <v>cattle and swine deep bedding (&lt;1 month)</v>
          </cell>
        </row>
        <row r="11">
          <cell r="A11" t="str">
            <v xml:space="preserve">Fresno </v>
          </cell>
          <cell r="C11" t="str">
            <v>cattle and swine deep bedding (&gt;1 month)</v>
          </cell>
        </row>
        <row r="12">
          <cell r="A12" t="str">
            <v xml:space="preserve">Glenn </v>
          </cell>
          <cell r="C12" t="str">
            <v xml:space="preserve">composting - in vessel </v>
          </cell>
        </row>
        <row r="13">
          <cell r="A13" t="str">
            <v xml:space="preserve">Humboldt </v>
          </cell>
          <cell r="C13" t="str">
            <v>composting - aerated static pile</v>
          </cell>
        </row>
        <row r="14">
          <cell r="A14" t="str">
            <v xml:space="preserve">Imperial </v>
          </cell>
          <cell r="C14" t="str">
            <v>composting - intensive windrow</v>
          </cell>
        </row>
        <row r="15">
          <cell r="A15" t="str">
            <v xml:space="preserve">Inyo </v>
          </cell>
          <cell r="C15" t="str">
            <v>composting - passive windrow</v>
          </cell>
        </row>
        <row r="16">
          <cell r="A16" t="str">
            <v>Kern</v>
          </cell>
        </row>
        <row r="17">
          <cell r="A17" t="str">
            <v>Kings</v>
          </cell>
          <cell r="E17">
            <v>0</v>
          </cell>
          <cell r="J17" t="str">
            <v>Covered Lagoon</v>
          </cell>
        </row>
        <row r="18">
          <cell r="A18" t="str">
            <v xml:space="preserve">Lake </v>
          </cell>
          <cell r="E18">
            <v>0.05</v>
          </cell>
          <cell r="J18" t="str">
            <v>Complete mix, plug flow, or fixed film digester</v>
          </cell>
        </row>
        <row r="19">
          <cell r="A19" t="str">
            <v xml:space="preserve">Lassen </v>
          </cell>
          <cell r="E19">
            <v>0.1</v>
          </cell>
        </row>
        <row r="20">
          <cell r="A20" t="str">
            <v xml:space="preserve">Los Angeles </v>
          </cell>
          <cell r="E20">
            <v>0.15</v>
          </cell>
        </row>
        <row r="21">
          <cell r="A21" t="str">
            <v xml:space="preserve">Madera </v>
          </cell>
          <cell r="E21">
            <v>0.2</v>
          </cell>
        </row>
        <row r="22">
          <cell r="A22" t="str">
            <v xml:space="preserve">Marin </v>
          </cell>
          <cell r="E22">
            <v>0.25</v>
          </cell>
        </row>
        <row r="23">
          <cell r="A23" t="str">
            <v xml:space="preserve">Mariposa </v>
          </cell>
          <cell r="E23">
            <v>0.3</v>
          </cell>
          <cell r="J23" t="str">
            <v>New source</v>
          </cell>
        </row>
        <row r="24">
          <cell r="A24" t="str">
            <v xml:space="preserve">Mendocino </v>
          </cell>
          <cell r="E24">
            <v>0.35</v>
          </cell>
          <cell r="J24" t="str">
            <v>Decrease</v>
          </cell>
        </row>
        <row r="25">
          <cell r="A25" t="str">
            <v xml:space="preserve">Merced </v>
          </cell>
          <cell r="E25">
            <v>0.4</v>
          </cell>
          <cell r="J25" t="str">
            <v>No change</v>
          </cell>
        </row>
        <row r="26">
          <cell r="A26" t="str">
            <v xml:space="preserve">Modoc </v>
          </cell>
          <cell r="E26">
            <v>0.45</v>
          </cell>
          <cell r="J26" t="str">
            <v>Increase</v>
          </cell>
        </row>
        <row r="27">
          <cell r="A27" t="str">
            <v xml:space="preserve">Mono </v>
          </cell>
          <cell r="E27">
            <v>0.5</v>
          </cell>
        </row>
        <row r="28">
          <cell r="A28" t="str">
            <v xml:space="preserve">Monterey </v>
          </cell>
          <cell r="E28">
            <v>0.55000000000000004</v>
          </cell>
          <cell r="J28" t="str">
            <v>Yes</v>
          </cell>
        </row>
        <row r="29">
          <cell r="A29" t="str">
            <v xml:space="preserve">Napa </v>
          </cell>
          <cell r="E29">
            <v>0.6</v>
          </cell>
          <cell r="J29" t="str">
            <v>No</v>
          </cell>
        </row>
        <row r="30">
          <cell r="A30" t="str">
            <v xml:space="preserve">Nevada </v>
          </cell>
          <cell r="E30">
            <v>0.65</v>
          </cell>
        </row>
        <row r="31">
          <cell r="A31" t="str">
            <v xml:space="preserve">Orange </v>
          </cell>
          <cell r="E31">
            <v>0.7</v>
          </cell>
          <cell r="J31" t="str">
            <v>No Solid Separation</v>
          </cell>
        </row>
        <row r="32">
          <cell r="A32" t="str">
            <v>Placer</v>
          </cell>
          <cell r="E32">
            <v>0.75</v>
          </cell>
          <cell r="J32" t="str">
            <v>Weeping Wall</v>
          </cell>
        </row>
        <row r="33">
          <cell r="A33" t="str">
            <v xml:space="preserve">Plumas </v>
          </cell>
          <cell r="E33">
            <v>0.8</v>
          </cell>
          <cell r="J33" t="str">
            <v>Stationary Screen</v>
          </cell>
        </row>
        <row r="34">
          <cell r="A34" t="str">
            <v xml:space="preserve">Riverside </v>
          </cell>
          <cell r="E34">
            <v>0.85</v>
          </cell>
          <cell r="J34" t="str">
            <v>Vibrating Screen</v>
          </cell>
        </row>
        <row r="35">
          <cell r="A35" t="str">
            <v>Sacramento</v>
          </cell>
          <cell r="E35">
            <v>0.9</v>
          </cell>
          <cell r="J35" t="str">
            <v>Screw Press</v>
          </cell>
        </row>
        <row r="36">
          <cell r="A36" t="str">
            <v>San Benito</v>
          </cell>
          <cell r="E36">
            <v>0.95</v>
          </cell>
          <cell r="J36" t="str">
            <v>Centrifuge</v>
          </cell>
        </row>
        <row r="37">
          <cell r="A37" t="str">
            <v>San Bernardino</v>
          </cell>
          <cell r="E37">
            <v>1</v>
          </cell>
          <cell r="J37" t="str">
            <v>Roller Drum</v>
          </cell>
        </row>
        <row r="38">
          <cell r="A38" t="str">
            <v xml:space="preserve">San Diego </v>
          </cell>
          <cell r="J38" t="str">
            <v>Belt Press/Screen</v>
          </cell>
        </row>
        <row r="39">
          <cell r="A39" t="str">
            <v xml:space="preserve">San Francisco </v>
          </cell>
        </row>
        <row r="40">
          <cell r="A40" t="str">
            <v xml:space="preserve">San Joaquin </v>
          </cell>
        </row>
        <row r="41">
          <cell r="A41" t="str">
            <v>San Luis Obispo</v>
          </cell>
        </row>
        <row r="42">
          <cell r="A42" t="str">
            <v xml:space="preserve">San Mateo </v>
          </cell>
        </row>
        <row r="43">
          <cell r="A43" t="str">
            <v xml:space="preserve">Santa Barbara </v>
          </cell>
        </row>
        <row r="44">
          <cell r="A44" t="str">
            <v xml:space="preserve">Santa Clara </v>
          </cell>
        </row>
        <row r="45">
          <cell r="A45" t="str">
            <v>Santa Cruz</v>
          </cell>
        </row>
        <row r="46">
          <cell r="A46" t="str">
            <v xml:space="preserve">Shasta </v>
          </cell>
        </row>
        <row r="47">
          <cell r="A47" t="str">
            <v xml:space="preserve">Sierra </v>
          </cell>
        </row>
        <row r="48">
          <cell r="A48" t="str">
            <v xml:space="preserve">Siskiyou </v>
          </cell>
        </row>
        <row r="49">
          <cell r="A49" t="str">
            <v xml:space="preserve">Solano </v>
          </cell>
        </row>
        <row r="50">
          <cell r="A50" t="str">
            <v xml:space="preserve">Sonoma </v>
          </cell>
        </row>
        <row r="51">
          <cell r="A51" t="str">
            <v xml:space="preserve">Stanislaus </v>
          </cell>
        </row>
        <row r="52">
          <cell r="A52" t="str">
            <v xml:space="preserve">Sutter </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adMe"/>
      <sheetName val="Closeout"/>
      <sheetName val="Jobs"/>
      <sheetName val="Outcome"/>
      <sheetName val="REAP Data Dictionary"/>
      <sheetName val="FPIP Outcome"/>
      <sheetName val="FPIP Data Dictionary"/>
      <sheetName val="Data Validation"/>
      <sheetName val="Dependent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2:BP32" totalsRowShown="0" headerRowDxfId="71" dataDxfId="69" headerRowBorderDxfId="70" tableBorderDxfId="68">
  <autoFilter ref="A2:BP32" xr:uid="{00000000-0009-0000-0100-000002000000}"/>
  <tableColumns count="68">
    <tableColumn id="1" xr3:uid="{00000000-0010-0000-0000-000001000000}" name="Agency" dataDxfId="67"/>
    <tableColumn id="2" xr3:uid="{00000000-0010-0000-0000-000002000000}" name="Subprogram" dataDxfId="66"/>
    <tableColumn id="3" xr3:uid="{00000000-0010-0000-0000-000003000000}" name="Project ID" dataDxfId="65"/>
    <tableColumn id="4" xr3:uid="{00000000-0010-0000-0000-000004000000}" name="Project Name" dataDxfId="64">
      <calculatedColumnFormula>'Project Info'!D21</calculatedColumnFormula>
    </tableColumn>
    <tableColumn id="5" xr3:uid="{00000000-0010-0000-0000-000005000000}" name="Project Type" dataDxfId="63"/>
    <tableColumn id="6" xr3:uid="{00000000-0010-0000-0000-000006000000}" name="Project Description" dataDxfId="62"/>
    <tableColumn id="7" xr3:uid="{00000000-0010-0000-0000-000007000000}" name="Project Address" dataDxfId="61">
      <calculatedColumnFormula>'Project Info'!D23</calculatedColumnFormula>
    </tableColumn>
    <tableColumn id="8" xr3:uid="{00000000-0010-0000-0000-000008000000}" name="Project Latitude and Longitude (degrees)" dataDxfId="60"/>
    <tableColumn id="9" xr3:uid="{00000000-0010-0000-0000-000009000000}" name="Expenditure Record Date" dataDxfId="59"/>
    <tableColumn id="10" xr3:uid="{00000000-0010-0000-0000-00000A000000}" name="Date Selected" dataDxfId="58"/>
    <tableColumn id="11" xr3:uid="{00000000-0010-0000-0000-00000B000000}" name="Date Awarded" dataDxfId="57"/>
    <tableColumn id="12" xr3:uid="{00000000-0010-0000-0000-00000C000000}" name="Project Completion Date" dataDxfId="56">
      <calculatedColumnFormula>'Project Info'!D31</calculatedColumnFormula>
    </tableColumn>
    <tableColumn id="13" xr3:uid="{00000000-0010-0000-0000-00000D000000}" name="Date Operational" dataDxfId="55"/>
    <tableColumn id="15" xr3:uid="{00000000-0010-0000-0000-00000F000000}" name="Total Project Cost ($)" dataDxfId="54">
      <calculatedColumnFormula>ROUND('Project Info'!D30,0)</calculatedColumnFormula>
    </tableColumn>
    <tableColumn id="16" xr3:uid="{00000000-0010-0000-0000-000010000000}" name="Total GGRF Funding Amount from this Program ($)" dataDxfId="53">
      <calculatedColumnFormula>ROUND('Project Info'!D29,0)</calculatedColumnFormula>
    </tableColumn>
    <tableColumn id="17" xr3:uid="{00000000-0010-0000-0000-000011000000}" name="Fiscal Year(s)" dataDxfId="52"/>
    <tableColumn id="19" xr3:uid="{00000000-0010-0000-0000-000013000000}" name="Total Matching Funds ($)" dataDxfId="51">
      <calculatedColumnFormula>ROUND('Project Info'!#REF!,0)</calculatedColumnFormula>
    </tableColumn>
    <tableColumn id="22" xr3:uid="{00000000-0010-0000-0000-000016000000}" name="Quantification Methodology Date" dataDxfId="50">
      <calculatedColumnFormula>'Project Info'!D28</calculatedColumnFormula>
    </tableColumn>
    <tableColumn id="23" xr3:uid="{00000000-0010-0000-0000-000017000000}" name="Quantification Period (years)" dataDxfId="49">
      <calculatedColumnFormula>'Project Info'!#REF!</calculatedColumnFormula>
    </tableColumn>
    <tableColumn id="24" xr3:uid="{00000000-0010-0000-0000-000018000000}" name="GHG Emission Reductions (MTCO2E)" dataDxfId="48">
      <calculatedColumnFormula>ROUND('Benefits Summary'!C20,0)</calculatedColumnFormula>
    </tableColumn>
    <tableColumn id="25" xr3:uid="{00000000-0010-0000-0000-000019000000}" name="Date GHG Emission Reductions Begin" dataDxfId="47">
      <calculatedColumnFormula>'Project Info'!D31</calculatedColumnFormula>
    </tableColumn>
    <tableColumn id="91" xr3:uid="{00000000-0010-0000-0000-00005B000000}" name="Governor’s Pillars (1;2;3;4;5;6)" dataDxfId="46"/>
    <tableColumn id="92" xr3:uid="{00000000-0010-0000-0000-00005C000000}" name="Other State Policies, Plans, or Initiatives? (Y/N)" dataDxfId="45"/>
    <tableColumn id="93" xr3:uid="{00000000-0010-0000-0000-00005D000000}" name="Describe other State Policies, Plans, or Initiatives" dataDxfId="44"/>
    <tableColumn id="94" xr3:uid="{00000000-0010-0000-0000-00005E000000}" name="Support Scoping Plan? (Y/N)" dataDxfId="43"/>
    <tableColumn id="28" xr3:uid="{00000000-0010-0000-0000-00001C000000}" name="Total Diesel PM Reductions (lbs)" dataDxfId="42"/>
    <tableColumn id="29" xr3:uid="{00000000-0010-0000-0000-00001D000000}" name="Total NOx Reductions (lbs)" dataDxfId="41">
      <calculatedColumnFormula>ROUND('Benefits Summary'!E30,0)</calculatedColumnFormula>
    </tableColumn>
    <tableColumn id="30" xr3:uid="{00000000-0010-0000-0000-00001E000000}" name="Total PM 2.5 Reductions (lbs)" dataDxfId="40">
      <calculatedColumnFormula>ROUND('Benefits Summary'!E32,0)</calculatedColumnFormula>
    </tableColumn>
    <tableColumn id="31" xr3:uid="{00000000-0010-0000-0000-00001F000000}" name="Total Reactive Organic Gases Reductions (lbs)" dataDxfId="39">
      <calculatedColumnFormula>ROUND('Benefits Summary'!E31,0)</calculatedColumnFormula>
    </tableColumn>
    <tableColumn id="141" xr3:uid="{00000000-0010-0000-0000-00008D000000}" name="Remote Nox Reductions (lbs)" dataDxfId="38">
      <calculatedColumnFormula>ROUND('Benefits Summary'!D30,0)</calculatedColumnFormula>
    </tableColumn>
    <tableColumn id="140" xr3:uid="{00000000-0010-0000-0000-00008C000000}" name="Remote PM 2.5 Reductions (lbs)" dataDxfId="37">
      <calculatedColumnFormula>ROUND('Benefits Summary'!D32,0)</calculatedColumnFormula>
    </tableColumn>
    <tableColumn id="142" xr3:uid="{00000000-0010-0000-0000-00008E000000}" name="Remote Reactive Organic Gases Reductions (lbs)" dataDxfId="36">
      <calculatedColumnFormula>ROUND('Benefits Summary'!D31,0)</calculatedColumnFormula>
    </tableColumn>
    <tableColumn id="38" xr3:uid="{00000000-0010-0000-0000-000026000000}" name="Energy and Fuel Cost Savings ($)" dataDxfId="35">
      <calculatedColumnFormula>ROUND('Benefits Summary'!C27,0)</calculatedColumnFormula>
    </tableColumn>
    <tableColumn id="40" xr3:uid="{00000000-0010-0000-0000-000028000000}" name="Climate Adaptation" dataDxfId="34"/>
    <tableColumn id="81" xr3:uid="{00000000-0010-0000-0000-000051000000}" name="Community Engagement" dataDxfId="33"/>
    <tableColumn id="33" xr3:uid="{00000000-0010-0000-0000-000021000000}" name="Fossil Fuel Based Transportation Fuel Use Reductions (gallons)" dataDxfId="32">
      <calculatedColumnFormula>ROUND('Benefits Summary'!C28,0)</calculatedColumnFormula>
    </tableColumn>
    <tableColumn id="34" xr3:uid="{00000000-0010-0000-0000-000022000000}" name="Fossil Fuel Based Energy Use Reductions (kWh)" dataDxfId="31">
      <calculatedColumnFormula>ROUND('Benefits Summary'!C28,0)</calculatedColumnFormula>
    </tableColumn>
    <tableColumn id="35" xr3:uid="{00000000-0010-0000-0000-000023000000}" name="Fossil Fuel Based Energy Use Reductions (therms)" dataDxfId="30">
      <calculatedColumnFormula>ROUND(#REF!,0)</calculatedColumnFormula>
    </tableColumn>
    <tableColumn id="82" xr3:uid="{00000000-0010-0000-0000-000052000000}" name="Water Use Reductions (gallons)" dataDxfId="29">
      <calculatedColumnFormula>ROUND('Benefits Summary'!#REF!,0)</calculatedColumnFormula>
    </tableColumn>
    <tableColumn id="100" xr3:uid="{00000000-0010-0000-0000-000064000000}" name="Renewable Energy Generation (kWh)" dataDxfId="28">
      <calculatedColumnFormula>ROUND('Benefits Summary'!#REF!,0)</calculatedColumnFormula>
    </tableColumn>
    <tableColumn id="45" xr3:uid="{00000000-0010-0000-0000-00002D000000}" name="Land Conserved (acres)" dataDxfId="27"/>
    <tableColumn id="114" xr3:uid="{00000000-0010-0000-0000-000072000000}" name="Direct Jobs" dataDxfId="26"/>
    <tableColumn id="118" xr3:uid="{00000000-0010-0000-0000-000076000000}" name="Indirect Jobs" dataDxfId="25"/>
    <tableColumn id="119" xr3:uid="{00000000-0010-0000-0000-000077000000}" name="Induced Jobs" dataDxfId="24"/>
    <tableColumn id="96" xr3:uid="{00000000-0010-0000-0000-000060000000}" name="Describe Co-benefits" dataDxfId="23"/>
    <tableColumn id="52" xr3:uid="{00000000-0010-0000-0000-000034000000}" name="CalEnviroScreen Version" dataDxfId="22"/>
    <tableColumn id="60" xr3:uid="{00000000-0010-0000-0000-00003C000000}" name="Benefit Criteria Table" dataDxfId="21"/>
    <tableColumn id="57" xr3:uid="{00000000-0010-0000-0000-000039000000}" name="Benefits Criteria Table_x000a_Step 1: Disadvantaged Community? (Y/N)" dataDxfId="20"/>
    <tableColumn id="58" xr3:uid="{00000000-0010-0000-0000-00003A000000}" name="Benefits Criteria Table_x000a_Step 1: Low-income Community or Low-income Household? (Y/N)" dataDxfId="19"/>
    <tableColumn id="59" xr3:uid="{00000000-0010-0000-0000-00003B000000}" name="Benefits Criteria Table_x000a_Step 1: Low-income 1/2-mile Buffer Region? (Y/N)" dataDxfId="18"/>
    <tableColumn id="61" xr3:uid="{00000000-0010-0000-0000-00003D000000}" name="Benefits Criteria Table_x000a_Step 2: Identifying Community Need" dataDxfId="17"/>
    <tableColumn id="62" xr3:uid="{00000000-0010-0000-0000-00003E000000}" name="Benefits Criteria Table_x000a_Step 2: Description of Community Need" dataDxfId="16"/>
    <tableColumn id="63" xr3:uid="{00000000-0010-0000-0000-00003F000000}" name="Benefits Criteria Table_x000a_Step 3: Benefit Criteria Met" dataDxfId="15"/>
    <tableColumn id="64" xr3:uid="{00000000-0010-0000-0000-000040000000}" name="Benefits Criteria Table_x000a_Step 3: Description of Benefits to Priority Populations" dataDxfId="14"/>
    <tableColumn id="65" xr3:uid="{00000000-0010-0000-0000-000041000000}" name="Qualifying Disadvantaged Community Benefit Count" dataDxfId="13">
      <calculatedColumnFormula>IF(Table13[[#This Row],[Benefits Criteria Table
Step 1: Disadvantaged Community? (Y/N)]]="Yes",Table13[[#This Row],[Count]],0)</calculatedColumnFormula>
    </tableColumn>
    <tableColumn id="66" xr3:uid="{00000000-0010-0000-0000-000042000000}" name="Qualifying Disadvantaged Community Benefit Amount ($)" dataDxfId="12">
      <calculatedColumnFormula>IF(Table13[[#This Row],[Benefits Criteria Table
Step 1: Disadvantaged Community? (Y/N)]]="Yes",Table13[[#This Row],[Total GGRF Funding Amount from this Program ($)]],0)</calculatedColumnFormula>
    </tableColumn>
    <tableColumn id="67" xr3:uid="{00000000-0010-0000-0000-000043000000}" name="Qualifying Low-income Count" dataDxfId="11">
      <calculatedColumnFormula>IF(Table13[[#This Row],[Benefits Criteria Table
Step 1: Low-income Community or Low-income Household? (Y/N)]]="Yes",Table13[[#This Row],[Count]],0)</calculatedColumnFormula>
    </tableColumn>
    <tableColumn id="68" xr3:uid="{00000000-0010-0000-0000-000044000000}" name="Qualifying Low-income Amount ($)" dataDxfId="10">
      <calculatedColumnFormula>IF(Table13[[#This Row],[Benefits Criteria Table
Step 1: Low-income Community or Low-income Household? (Y/N)]]="Yes",Table13[[#This Row],[Total GGRF Funding Amount from this Program ($)]],0)</calculatedColumnFormula>
    </tableColumn>
    <tableColumn id="69" xr3:uid="{00000000-0010-0000-0000-000045000000}" name="Qualifying 1/2-mile Low-income Buffer Count" dataDxfId="9">
      <calculatedColumnFormula>IF(Table13[[#This Row],[Benefits Criteria Table
Step 1: Low-income 1/2-mile Buffer Region? (Y/N)]]="Yes",Table13[[#This Row],[Count]],0)</calculatedColumnFormula>
    </tableColumn>
    <tableColumn id="70" xr3:uid="{00000000-0010-0000-0000-000046000000}" name="Qualifying 1/2-mile Low-income Buffer Amount ($)" dataDxfId="8">
      <calculatedColumnFormula>IF(Table13[[#This Row],[Benefits Criteria Table
Step 1: Low-income 1/2-mile Buffer Region? (Y/N)]]="Yes",Table13[[#This Row],[Total GGRF Funding Amount from this Program ($)]],0)</calculatedColumnFormula>
    </tableColumn>
    <tableColumn id="71" xr3:uid="{00000000-0010-0000-0000-000047000000}" name="Select a Priority Population" dataDxfId="7"/>
    <tableColumn id="26" xr3:uid="{00000000-0010-0000-0000-00001A000000}" name="Claimed Disadvantaged Communities Benefit Count" dataDxfId="6">
      <calculatedColumnFormula>IF(Table13[[#This Row],[Benefits Criteria Table
Step 1: Disadvantaged Community? (Y/N)]]="YES",IF(Table13[[#This Row],[Select a Priority Population]]="Disadvantaged Community",Table13[[#This Row],[Count]],0),"")</calculatedColumnFormula>
    </tableColumn>
    <tableColumn id="27" xr3:uid="{00000000-0010-0000-0000-00001B000000}" name="Claimed Disadvantaged Communities Benefit Amount ($)" dataDxfId="5">
      <calculatedColumnFormula>IF(Table13[[#This Row],[Benefits Criteria Table
Step 1: Disadvantaged Community? (Y/N)]]="YES",IF(Table13[[#This Row],[Select a Priority Population]]="Disadvantaged Community",Table13[[#This Row],[Qualifying Disadvantaged Community Benefit Amount ($)]],0),"")</calculatedColumnFormula>
    </tableColumn>
    <tableColumn id="72" xr3:uid="{00000000-0010-0000-0000-000048000000}" name="Claimed Low-income Count" dataDxfId="4">
      <calculatedColumnFormula>IF(Table13[[#This Row],[Benefits Criteria Table
Step 1: Low-income Community or Low-income Household? (Y/N)]]="Yes",IF(Table13[[#This Row],[Select a Priority Population]]="Low-income Community",Table13[[#This Row],[Count]],0),0)</calculatedColumnFormula>
    </tableColumn>
    <tableColumn id="73" xr3:uid="{00000000-0010-0000-0000-000049000000}" name="Claimed Low-income Amount ($)" dataDxfId="3">
      <calculatedColumnFormula>IF(Table13[[#This Row],[Benefits Criteria Table
Step 1: Low-income Community or Low-income Household? (Y/N)]]="Yes",IF(Table13[[#This Row],[Select a Priority Population]]="Low-income Community",Table13[[#This Row],[Total GGRF Funding Amount from this Program ($)]],0),0)</calculatedColumnFormula>
    </tableColumn>
    <tableColumn id="74" xr3:uid="{00000000-0010-0000-0000-00004A000000}" name="Claimed Low-income 1/2-mile Buffer Count" dataDxfId="2">
      <calculatedColumnFormula>IF(Table13[[#This Row],[Benefits Criteria Table
Step 1: Low-income 1/2-mile Buffer Region? (Y/N)]]="Yes",IF(Table13[[#This Row],[Select a Priority Population]]="1/2 Mile Buffer Zone",Table13[[#This Row],[Count]],0),0)</calculatedColumnFormula>
    </tableColumn>
    <tableColumn id="75" xr3:uid="{00000000-0010-0000-0000-00004B000000}" name="Claimed Low-income 1/2-mile Buffer Amount ($)" dataDxfId="1">
      <calculatedColumnFormula>IF(Table13[[#This Row],[Benefits Criteria Table
Step 1: Low-income 1/2-mile Buffer Region? (Y/N)]]="Yes",IF(Table13[[#This Row],[Select a Priority Population]]="1/2 Mile Buffer Zone",Table13[[#This Row],[Total GGRF Funding Amount from this Program ($)]],0),0)</calculatedColumnFormula>
    </tableColumn>
    <tableColumn id="76" xr3:uid="{00000000-0010-0000-0000-00004C000000}" name="Count" dataDxfId="0">
      <calculatedColumnFormula>IF(ISBLANK(Table13[[#This Row],[Project ID]]), 0, 1)</calculatedColumnFormula>
    </tableColumn>
  </tableColumns>
  <tableStyleInfo name="TableStyleMedium2" showFirstColumn="0" showLastColumn="0" showRowStripes="1" showColumnStripes="0"/>
  <extLst>
    <ext xmlns:x14="http://schemas.microsoft.com/office/spreadsheetml/2009/9/main" uri="{504A1905-F514-4f6f-8877-14C23A59335A}">
      <x14:table altText="California Climate Investments Reporting and Tracking System (CCIRTS) Templa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FRIP@arb.ca.gov" TargetMode="External"/><Relationship Id="rId7" Type="http://schemas.openxmlformats.org/officeDocument/2006/relationships/hyperlink" Target="https://ww2.arb.ca.gov/sites/default/files/classic/cc/capandtrade/auctionproceeds/carb_frip_qm_userguide_final_2020.pdf" TargetMode="External"/><Relationship Id="rId2" Type="http://schemas.openxmlformats.org/officeDocument/2006/relationships/hyperlink" Target="http://www.arb.ca.gov/auctionproceeds" TargetMode="External"/><Relationship Id="rId1" Type="http://schemas.openxmlformats.org/officeDocument/2006/relationships/hyperlink" Target="mailto:GGRFProgram@arb.ca.gov" TargetMode="External"/><Relationship Id="rId6" Type="http://schemas.openxmlformats.org/officeDocument/2006/relationships/hyperlink" Target="http://www.arb.ca.gov/cci-cobenefits" TargetMode="External"/><Relationship Id="rId5" Type="http://schemas.openxmlformats.org/officeDocument/2006/relationships/hyperlink" Target="http://www.arb.ca.gov/cci-cobenefits." TargetMode="External"/><Relationship Id="rId4" Type="http://schemas.openxmlformats.org/officeDocument/2006/relationships/hyperlink" Target="http://www.arb.ca.gov/cci-resource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ipcc.ch/report/ar5/syr/" TargetMode="External"/><Relationship Id="rId3" Type="http://schemas.openxmlformats.org/officeDocument/2006/relationships/hyperlink" Target="http://www.energy.ca.gov/almanac/electricity_data/electricity_generation.html" TargetMode="External"/><Relationship Id="rId7" Type="http://schemas.openxmlformats.org/officeDocument/2006/relationships/hyperlink" Target="https://www.ipcc.ch/report/ar4/wg1/" TargetMode="External"/><Relationship Id="rId2" Type="http://schemas.openxmlformats.org/officeDocument/2006/relationships/hyperlink" Target="https://www.arb.ca.gov/cc/inventory/data/tables/ghg_inventory_sector_sum_2000-16.pdf" TargetMode="External"/><Relationship Id="rId1" Type="http://schemas.openxmlformats.org/officeDocument/2006/relationships/hyperlink" Target="https://www.epa.gov/sites/production/files/2018-03/documents/emission-factors_mar_2018_0.pdf" TargetMode="External"/><Relationship Id="rId6" Type="http://schemas.openxmlformats.org/officeDocument/2006/relationships/hyperlink" Target="https://ww2.arb.ca.gov/resources/documents/high-gwp-refrigerants" TargetMode="External"/><Relationship Id="rId5" Type="http://schemas.openxmlformats.org/officeDocument/2006/relationships/hyperlink" Target="http://www.energy.ca.gov/almanac/electricity_data/electricity_generation.html" TargetMode="External"/><Relationship Id="rId10" Type="http://schemas.openxmlformats.org/officeDocument/2006/relationships/drawing" Target="../drawings/drawing10.xml"/><Relationship Id="rId4" Type="http://schemas.openxmlformats.org/officeDocument/2006/relationships/hyperlink" Target="https://www.arb.ca.gov/app/emsinv/2017/emssumcat_query.php?F_YR=2012&amp;F_DIV=-4&amp;F_SEASON=A&amp;SP=SIP105ADJ&amp;F_AREA=CA"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rb.ca.gov/cc/capandtrade/auctionproceeds/final_energyfuelcost_am.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vwatts.nrel.gov/" TargetMode="External"/><Relationship Id="rId1" Type="http://schemas.openxmlformats.org/officeDocument/2006/relationships/hyperlink" Target="https://ww2.arb.ca.gov/sites/default/files/classic/cc/capandtrade/auctionproceeds/carb_frip_qm_userguide_final_2020.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2.arb.ca.gov/sites/default/files/classic/cc/capandtrade/auctionproceeds/carb_frip_qm_userguide_final_2020.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arb.ca.gov/cci-resources" TargetMode="External"/><Relationship Id="rId3" Type="http://schemas.openxmlformats.org/officeDocument/2006/relationships/hyperlink" Target="https://www.arb.ca.gov/cc/capandtrade/auctionproceeds/ccidoc/criteriatable/criteria-table-eere.pdf" TargetMode="External"/><Relationship Id="rId7" Type="http://schemas.openxmlformats.org/officeDocument/2006/relationships/hyperlink" Target="https://www.arb.ca.gov/cc/capandtrade/auctionproceeds/communityinvestments.htm" TargetMode="External"/><Relationship Id="rId12" Type="http://schemas.openxmlformats.org/officeDocument/2006/relationships/vmlDrawing" Target="../drawings/vmlDrawing1.vml"/><Relationship Id="rId2" Type="http://schemas.openxmlformats.org/officeDocument/2006/relationships/hyperlink" Target="https://www.arb.ca.gov/cc/capandtrade/auctionproceeds/ccidoc/criteriatable/criteria-table-jobs.pdf" TargetMode="External"/><Relationship Id="rId1" Type="http://schemas.openxmlformats.org/officeDocument/2006/relationships/hyperlink" Target="https://www.arb.ca.gov/cc/capandtrade/auctionproceeds/communityinvestments.htm" TargetMode="External"/><Relationship Id="rId6" Type="http://schemas.openxmlformats.org/officeDocument/2006/relationships/hyperlink" Target="http://www.arb.ca.gov/cci-resources." TargetMode="External"/><Relationship Id="rId11" Type="http://schemas.openxmlformats.org/officeDocument/2006/relationships/drawing" Target="../drawings/drawing4.xml"/><Relationship Id="rId5" Type="http://schemas.openxmlformats.org/officeDocument/2006/relationships/hyperlink" Target="https://www.arb.ca.gov/cc/capandtrade/auctionproceeds/2018-funding-guidelines.pdf" TargetMode="External"/><Relationship Id="rId10" Type="http://schemas.openxmlformats.org/officeDocument/2006/relationships/printerSettings" Target="../printerSettings/printerSettings4.bin"/><Relationship Id="rId4" Type="http://schemas.openxmlformats.org/officeDocument/2006/relationships/hyperlink" Target="https://oehha.ca.gov/calenviroscreen/report/calenviroscreen-30" TargetMode="External"/><Relationship Id="rId9" Type="http://schemas.openxmlformats.org/officeDocument/2006/relationships/hyperlink" Target="https://ww3.arb.ca.gov/cc/capandtrade/auctionproceeds/carb_frip_draftuserguide_2020.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2.arb.ca.gov/our-work/programs/FRIP/program-material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A7A7"/>
    <pageSetUpPr fitToPage="1"/>
  </sheetPr>
  <dimension ref="B1:L43"/>
  <sheetViews>
    <sheetView showGridLines="0" tabSelected="1" zoomScaleNormal="100" workbookViewId="0"/>
  </sheetViews>
  <sheetFormatPr defaultColWidth="9.140625" defaultRowHeight="15" customHeight="1" x14ac:dyDescent="0.25"/>
  <cols>
    <col min="1" max="1" width="4.28515625" style="9" customWidth="1"/>
    <col min="2" max="4" width="35.7109375" style="9" customWidth="1"/>
    <col min="5" max="5" width="25.5703125" style="9" customWidth="1"/>
    <col min="6" max="6" width="44" style="9" customWidth="1"/>
    <col min="7" max="7" width="2.85546875" style="9" customWidth="1"/>
    <col min="8" max="16384" width="9.140625" style="9"/>
  </cols>
  <sheetData>
    <row r="1" spans="2:6" ht="20.100000000000001" customHeight="1" x14ac:dyDescent="0.25">
      <c r="B1" s="22"/>
      <c r="C1" s="22"/>
      <c r="D1" s="22"/>
      <c r="E1" s="22"/>
      <c r="F1" s="22"/>
    </row>
    <row r="2" spans="2:6" ht="15" customHeight="1" x14ac:dyDescent="0.25">
      <c r="B2" s="23"/>
      <c r="C2" s="23"/>
      <c r="D2" s="23"/>
      <c r="E2" s="23"/>
      <c r="F2" s="23"/>
    </row>
    <row r="3" spans="2:6" ht="20.100000000000001" customHeight="1" x14ac:dyDescent="0.25">
      <c r="B3" s="22"/>
      <c r="C3" s="22"/>
      <c r="D3" s="22"/>
      <c r="E3" s="22"/>
      <c r="F3" s="22"/>
    </row>
    <row r="4" spans="2:6" ht="20.100000000000001" customHeight="1" x14ac:dyDescent="0.25">
      <c r="B4" s="236"/>
      <c r="C4" s="236"/>
      <c r="D4" s="236"/>
      <c r="E4" s="236"/>
      <c r="F4" s="236"/>
    </row>
    <row r="5" spans="2:6" ht="15" customHeight="1" x14ac:dyDescent="0.25">
      <c r="B5" s="237"/>
      <c r="C5" s="237"/>
      <c r="D5" s="237"/>
      <c r="E5" s="237"/>
      <c r="F5" s="237"/>
    </row>
    <row r="6" spans="2:6" ht="15" customHeight="1" x14ac:dyDescent="0.25">
      <c r="B6" s="209"/>
      <c r="C6" s="181"/>
      <c r="D6" s="181"/>
      <c r="E6" s="181"/>
      <c r="F6" s="181"/>
    </row>
    <row r="7" spans="2:6" ht="20.100000000000001" customHeight="1" x14ac:dyDescent="0.25">
      <c r="B7" s="22"/>
      <c r="C7" s="22"/>
      <c r="D7" s="22"/>
      <c r="E7" s="22"/>
      <c r="F7" s="22"/>
    </row>
    <row r="8" spans="2:6" ht="20.100000000000001" customHeight="1" x14ac:dyDescent="0.25">
      <c r="B8" s="208"/>
      <c r="C8" s="208"/>
      <c r="D8" s="208"/>
      <c r="E8" s="208"/>
      <c r="F8" s="208"/>
    </row>
    <row r="9" spans="2:6" ht="15" customHeight="1" thickBot="1" x14ac:dyDescent="0.3">
      <c r="B9" s="11" t="s">
        <v>32</v>
      </c>
    </row>
    <row r="10" spans="2:6" ht="15.75" x14ac:dyDescent="0.25">
      <c r="B10" s="381" t="s">
        <v>649</v>
      </c>
      <c r="C10" s="382"/>
      <c r="D10" s="382"/>
      <c r="E10" s="382"/>
      <c r="F10" s="383"/>
    </row>
    <row r="11" spans="2:6" ht="15.75" x14ac:dyDescent="0.25">
      <c r="B11" s="384" t="s">
        <v>437</v>
      </c>
      <c r="C11" s="385"/>
      <c r="D11" s="385"/>
      <c r="E11" s="385"/>
      <c r="F11" s="312"/>
    </row>
    <row r="12" spans="2:6" ht="15.75" x14ac:dyDescent="0.25">
      <c r="B12" s="384" t="s">
        <v>438</v>
      </c>
      <c r="C12" s="385"/>
      <c r="D12" s="385"/>
      <c r="E12" s="385"/>
      <c r="F12" s="312"/>
    </row>
    <row r="13" spans="2:6" ht="15.75" x14ac:dyDescent="0.25">
      <c r="B13" s="384" t="s">
        <v>650</v>
      </c>
      <c r="C13" s="385"/>
      <c r="D13" s="385"/>
      <c r="E13" s="385"/>
      <c r="F13" s="312"/>
    </row>
    <row r="14" spans="2:6" ht="15" customHeight="1" x14ac:dyDescent="0.25">
      <c r="B14" s="41" t="s">
        <v>310</v>
      </c>
      <c r="C14" s="228"/>
      <c r="D14" s="228"/>
      <c r="E14" s="228"/>
      <c r="F14" s="229"/>
    </row>
    <row r="15" spans="2:6" ht="15" customHeight="1" x14ac:dyDescent="0.25">
      <c r="B15" s="210"/>
      <c r="C15" s="228"/>
      <c r="D15" s="228"/>
      <c r="E15" s="228"/>
      <c r="F15" s="229"/>
    </row>
    <row r="16" spans="2:6" ht="15.75" x14ac:dyDescent="0.25">
      <c r="B16" s="384" t="s">
        <v>651</v>
      </c>
      <c r="C16" s="385"/>
      <c r="D16" s="385"/>
      <c r="E16" s="385"/>
      <c r="F16" s="312"/>
    </row>
    <row r="17" spans="2:12" ht="15.75" x14ac:dyDescent="0.25">
      <c r="B17" s="384" t="s">
        <v>440</v>
      </c>
      <c r="C17" s="228"/>
      <c r="D17" s="228"/>
      <c r="E17" s="228"/>
      <c r="F17" s="229"/>
    </row>
    <row r="18" spans="2:12" ht="15.75" x14ac:dyDescent="0.25">
      <c r="B18" s="384" t="s">
        <v>439</v>
      </c>
      <c r="C18" s="228"/>
      <c r="D18" s="228"/>
      <c r="E18" s="228"/>
      <c r="F18" s="229"/>
    </row>
    <row r="19" spans="2:12" ht="15" customHeight="1" x14ac:dyDescent="0.25">
      <c r="B19" s="333" t="s">
        <v>311</v>
      </c>
      <c r="C19" s="334"/>
      <c r="D19" s="334"/>
      <c r="E19" s="334"/>
      <c r="F19" s="335"/>
    </row>
    <row r="20" spans="2:12" ht="15" customHeight="1" x14ac:dyDescent="0.25">
      <c r="B20" s="338"/>
      <c r="C20" s="332"/>
      <c r="D20" s="332"/>
      <c r="E20" s="332"/>
      <c r="F20" s="339"/>
    </row>
    <row r="21" spans="2:12" ht="15" customHeight="1" thickBot="1" x14ac:dyDescent="0.3">
      <c r="B21" s="723" t="s">
        <v>475</v>
      </c>
      <c r="C21" s="722"/>
      <c r="D21" s="722"/>
      <c r="E21" s="722"/>
      <c r="F21" s="724"/>
    </row>
    <row r="22" spans="2:12" ht="15" customHeight="1" x14ac:dyDescent="0.25">
      <c r="B22" s="725" t="s">
        <v>648</v>
      </c>
      <c r="C22" s="632"/>
      <c r="D22" s="632"/>
      <c r="E22" s="632"/>
      <c r="F22" s="726"/>
      <c r="H22" s="727" t="s">
        <v>17</v>
      </c>
      <c r="I22" s="728"/>
      <c r="J22" s="728"/>
      <c r="K22" s="728"/>
      <c r="L22" s="729"/>
    </row>
    <row r="23" spans="2:12" ht="15" customHeight="1" x14ac:dyDescent="0.25">
      <c r="B23" s="338"/>
      <c r="C23" s="332"/>
      <c r="D23" s="332"/>
      <c r="E23" s="332"/>
      <c r="F23" s="339"/>
      <c r="H23" s="730" t="s">
        <v>18</v>
      </c>
      <c r="I23" s="12" t="s">
        <v>655</v>
      </c>
      <c r="J23" s="12"/>
      <c r="K23" s="12"/>
      <c r="L23" s="731"/>
    </row>
    <row r="24" spans="2:12" ht="15" customHeight="1" x14ac:dyDescent="0.25">
      <c r="B24" s="338" t="s">
        <v>31</v>
      </c>
      <c r="C24" s="332"/>
      <c r="D24" s="332"/>
      <c r="E24" s="332"/>
      <c r="F24" s="339"/>
      <c r="H24" s="732" t="s">
        <v>19</v>
      </c>
      <c r="I24" s="12" t="s">
        <v>656</v>
      </c>
      <c r="J24" s="12"/>
      <c r="K24" s="12"/>
      <c r="L24" s="731"/>
    </row>
    <row r="25" spans="2:12" ht="15" customHeight="1" x14ac:dyDescent="0.25">
      <c r="B25" s="336" t="s">
        <v>411</v>
      </c>
      <c r="C25" s="337"/>
      <c r="D25" s="337"/>
      <c r="E25" s="337"/>
      <c r="F25" s="43" t="s">
        <v>1</v>
      </c>
      <c r="H25" s="733" t="s">
        <v>21</v>
      </c>
      <c r="I25" s="12" t="s">
        <v>657</v>
      </c>
      <c r="J25" s="12"/>
      <c r="K25" s="12"/>
      <c r="L25" s="731"/>
    </row>
    <row r="26" spans="2:12" ht="15" customHeight="1" thickBot="1" x14ac:dyDescent="0.3">
      <c r="B26" s="336" t="s">
        <v>412</v>
      </c>
      <c r="C26" s="337"/>
      <c r="D26" s="337"/>
      <c r="E26" s="337"/>
      <c r="F26" s="43" t="s">
        <v>28</v>
      </c>
      <c r="H26" s="734" t="s">
        <v>20</v>
      </c>
      <c r="I26" s="735" t="s">
        <v>658</v>
      </c>
      <c r="J26" s="735"/>
      <c r="K26" s="735"/>
      <c r="L26" s="736"/>
    </row>
    <row r="27" spans="2:12" ht="15" customHeight="1" x14ac:dyDescent="0.25">
      <c r="B27" s="336" t="s">
        <v>413</v>
      </c>
      <c r="C27" s="337"/>
      <c r="D27" s="337"/>
      <c r="E27" s="337"/>
      <c r="F27" s="671" t="s">
        <v>637</v>
      </c>
      <c r="H27" s="737" t="s">
        <v>25</v>
      </c>
      <c r="I27" s="738"/>
      <c r="J27" s="738"/>
      <c r="K27" s="738"/>
      <c r="L27" s="738"/>
    </row>
    <row r="28" spans="2:12" ht="7.5" customHeight="1" thickBot="1" x14ac:dyDescent="0.3">
      <c r="B28" s="44"/>
      <c r="C28" s="45"/>
      <c r="D28" s="45"/>
      <c r="E28" s="45"/>
      <c r="F28" s="46"/>
    </row>
    <row r="29" spans="2:12" ht="15" customHeight="1" x14ac:dyDescent="0.25">
      <c r="B29" s="47"/>
      <c r="C29" s="47"/>
      <c r="D29" s="47"/>
      <c r="E29" s="47"/>
      <c r="F29" s="47"/>
    </row>
    <row r="31" spans="2:12" ht="15" customHeight="1" x14ac:dyDescent="0.25">
      <c r="B31" s="39"/>
      <c r="C31" s="39"/>
      <c r="D31" s="39"/>
      <c r="E31" s="39"/>
      <c r="F31" s="39"/>
    </row>
    <row r="32" spans="2:12" ht="15" customHeight="1" x14ac:dyDescent="0.25">
      <c r="B32" s="39"/>
      <c r="C32" s="39"/>
      <c r="D32" s="39"/>
      <c r="E32" s="39"/>
      <c r="F32" s="39"/>
    </row>
    <row r="33" spans="2:6" ht="15" customHeight="1" x14ac:dyDescent="0.25">
      <c r="B33" s="39"/>
      <c r="C33" s="39"/>
      <c r="D33" s="39"/>
      <c r="E33" s="39"/>
      <c r="F33" s="39"/>
    </row>
    <row r="34" spans="2:6" ht="15" customHeight="1" x14ac:dyDescent="0.25">
      <c r="B34" s="39"/>
      <c r="C34" s="39"/>
      <c r="D34" s="39"/>
      <c r="E34" s="39"/>
      <c r="F34" s="39"/>
    </row>
    <row r="35" spans="2:6" ht="15" customHeight="1" x14ac:dyDescent="0.25">
      <c r="B35" s="39"/>
      <c r="C35" s="39"/>
      <c r="D35" s="39"/>
      <c r="E35" s="39"/>
      <c r="F35" s="39"/>
    </row>
    <row r="36" spans="2:6" ht="15" customHeight="1" x14ac:dyDescent="0.25">
      <c r="B36" s="39"/>
      <c r="C36" s="39"/>
      <c r="D36" s="39"/>
      <c r="E36" s="39"/>
      <c r="F36" s="39"/>
    </row>
    <row r="37" spans="2:6" ht="15" customHeight="1" x14ac:dyDescent="0.25">
      <c r="B37" s="39"/>
      <c r="C37" s="39"/>
      <c r="D37" s="39"/>
      <c r="E37" s="39"/>
      <c r="F37" s="39"/>
    </row>
    <row r="38" spans="2:6" ht="15" customHeight="1" x14ac:dyDescent="0.25">
      <c r="B38" s="39"/>
      <c r="C38" s="39"/>
      <c r="D38" s="39"/>
      <c r="E38" s="39"/>
      <c r="F38" s="39"/>
    </row>
    <row r="39" spans="2:6" ht="15" customHeight="1" x14ac:dyDescent="0.25">
      <c r="B39" s="39"/>
      <c r="C39" s="39"/>
      <c r="D39" s="39"/>
      <c r="E39" s="39"/>
      <c r="F39" s="39"/>
    </row>
    <row r="40" spans="2:6" ht="15" customHeight="1" x14ac:dyDescent="0.25">
      <c r="B40" s="39"/>
      <c r="C40" s="39"/>
      <c r="D40" s="39"/>
      <c r="E40" s="39"/>
      <c r="F40" s="39"/>
    </row>
    <row r="42" spans="2:6" ht="15" customHeight="1" x14ac:dyDescent="0.25">
      <c r="B42" s="12"/>
    </row>
    <row r="43" spans="2:6" ht="15" customHeight="1" x14ac:dyDescent="0.25">
      <c r="B43" s="40"/>
    </row>
  </sheetData>
  <sheetProtection algorithmName="SHA-512" hashValue="9ZhrAl2tGK8UyvKoynmSWOJAFrpae3G2U7kLJpPp4/dtFJ0Eg0XyltqH/bIUVfyBllzCWWxkgzkyc4wPuOcNvA==" saltValue="kxI8gFwmZunrSYiq137Yug==" spinCount="100000" sheet="1" objects="1" scenarios="1"/>
  <hyperlinks>
    <hyperlink ref="F25" r:id="rId1" tooltip="Email to send questions on this Benefits Calculator Tool " xr:uid="{00000000-0004-0000-0000-000000000000}"/>
    <hyperlink ref="F26" r:id="rId2" tooltip="Link for more information on California Climate Investments" xr:uid="{00000000-0004-0000-0000-000001000000}"/>
    <hyperlink ref="F27" r:id="rId3" tooltip="Email to send questions pertaining to FRIP" xr:uid="{00000000-0004-0000-0000-000002000000}"/>
    <hyperlink ref="B14" r:id="rId4" tooltip="Link to California Climate Investments Resources Page" xr:uid="{00000000-0004-0000-0000-000003000000}"/>
    <hyperlink ref="B19" r:id="rId5" display="www.arb.ca.gov/cci-cobenefits." xr:uid="{00000000-0004-0000-0000-000004000000}"/>
    <hyperlink ref="B19:F19" r:id="rId6" tooltip="Link to CARB Co-benefit Assessment Methodologies" display="http://www.arb.ca.gov/cci-cobenefits." xr:uid="{00000000-0004-0000-0000-000005000000}"/>
    <hyperlink ref="B22" r:id="rId7" tooltip="Quantification Methodology and User Guide" xr:uid="{05D2ADE3-3D67-4565-B9DE-238C43141C5C}"/>
  </hyperlinks>
  <pageMargins left="0.7" right="0.7" top="0.98479166666666662" bottom="0.75" header="0.3" footer="0.3"/>
  <pageSetup scale="51" fitToHeight="0" orientation="landscape" r:id="rId8"/>
  <headerFooter>
    <oddFooter>&amp;L&amp;"Avenir LT Std 55 Roman,Regular"&amp;12&amp;K000000FINAL August 7, 2020&amp;C&amp;"Avenir LT Std 55 Roman,Regular"&amp;12Page &amp;P of &amp;N&amp;R&amp;"Avenir LT Std 55 Roman,Regular"&amp;12&amp;K000000&amp;A</oddFooter>
  </headerFooter>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B1:Y388"/>
  <sheetViews>
    <sheetView showGridLines="0" zoomScaleNormal="100" workbookViewId="0"/>
  </sheetViews>
  <sheetFormatPr defaultColWidth="9.140625" defaultRowHeight="15" x14ac:dyDescent="0.25"/>
  <cols>
    <col min="1" max="1" width="4.28515625" style="42" customWidth="1"/>
    <col min="2" max="2" width="39.5703125" style="42" customWidth="1"/>
    <col min="3" max="3" width="21.28515625" style="42" bestFit="1" customWidth="1"/>
    <col min="4" max="4" width="22.85546875" style="42" bestFit="1" customWidth="1"/>
    <col min="5" max="5" width="20.7109375" style="42" customWidth="1"/>
    <col min="6" max="6" width="22" style="42" bestFit="1" customWidth="1"/>
    <col min="7" max="7" width="18.85546875" style="42" bestFit="1" customWidth="1"/>
    <col min="8" max="8" width="20.140625" style="42" bestFit="1" customWidth="1"/>
    <col min="9" max="9" width="34.5703125" style="42" bestFit="1" customWidth="1"/>
    <col min="10" max="10" width="20.7109375" style="42" customWidth="1"/>
    <col min="11" max="11" width="20.7109375" style="42" bestFit="1" customWidth="1"/>
    <col min="12" max="12" width="20.7109375" style="42" customWidth="1"/>
    <col min="13" max="16384" width="9.140625" style="42"/>
  </cols>
  <sheetData>
    <row r="1" spans="2:25" ht="18.75" customHeight="1" x14ac:dyDescent="0.25">
      <c r="B1" s="232"/>
      <c r="C1" s="232"/>
      <c r="D1" s="232"/>
      <c r="E1" s="232"/>
      <c r="F1" s="232"/>
    </row>
    <row r="2" spans="2:25" ht="15" customHeight="1" x14ac:dyDescent="0.25">
      <c r="B2" s="233"/>
      <c r="C2" s="233"/>
      <c r="D2" s="233"/>
      <c r="E2" s="233"/>
      <c r="F2" s="233"/>
    </row>
    <row r="3" spans="2:25" ht="18.75" customHeight="1" x14ac:dyDescent="0.25">
      <c r="B3" s="232"/>
      <c r="C3" s="232"/>
      <c r="D3" s="232"/>
      <c r="E3" s="232"/>
      <c r="F3" s="232"/>
    </row>
    <row r="4" spans="2:25" ht="18.75" customHeight="1" x14ac:dyDescent="0.25">
      <c r="B4" s="234"/>
      <c r="C4" s="234"/>
      <c r="D4" s="234"/>
      <c r="E4" s="234"/>
      <c r="F4" s="234"/>
    </row>
    <row r="5" spans="2:25" ht="15" customHeight="1" x14ac:dyDescent="0.25">
      <c r="B5" s="235"/>
      <c r="C5" s="235"/>
      <c r="D5" s="235"/>
      <c r="E5" s="235"/>
      <c r="F5" s="235"/>
    </row>
    <row r="6" spans="2:25" ht="15" customHeight="1" x14ac:dyDescent="0.25">
      <c r="B6" s="182"/>
      <c r="C6" s="182"/>
      <c r="D6" s="182"/>
      <c r="E6" s="182"/>
      <c r="F6" s="182"/>
    </row>
    <row r="7" spans="2:25" ht="18.75" customHeight="1" x14ac:dyDescent="0.25">
      <c r="B7" s="232"/>
      <c r="C7" s="232"/>
      <c r="D7" s="232"/>
      <c r="E7" s="232"/>
      <c r="F7" s="232"/>
    </row>
    <row r="8" spans="2:25" ht="15" customHeight="1" x14ac:dyDescent="0.25"/>
    <row r="9" spans="2:25" ht="15" customHeight="1" thickBot="1" x14ac:dyDescent="0.3">
      <c r="B9" s="71"/>
      <c r="C9" s="71"/>
      <c r="D9" s="71"/>
      <c r="E9" s="71"/>
      <c r="F9" s="71"/>
    </row>
    <row r="10" spans="2:25" ht="15.75" x14ac:dyDescent="0.25">
      <c r="B10" s="252" t="s">
        <v>47</v>
      </c>
      <c r="C10" s="253"/>
      <c r="D10" s="254"/>
      <c r="E10" s="71"/>
      <c r="F10" s="72"/>
    </row>
    <row r="11" spans="2:25" ht="16.5" thickBot="1" x14ac:dyDescent="0.3">
      <c r="B11" s="73" t="s">
        <v>44</v>
      </c>
      <c r="C11" s="74" t="s">
        <v>45</v>
      </c>
      <c r="D11" s="75" t="s">
        <v>46</v>
      </c>
    </row>
    <row r="12" spans="2:25" ht="20.25" customHeight="1" x14ac:dyDescent="0.35">
      <c r="B12" s="230"/>
      <c r="C12" s="80">
        <v>0.22789999999999999</v>
      </c>
      <c r="D12" s="76" t="s">
        <v>414</v>
      </c>
    </row>
    <row r="13" spans="2:25" ht="20.25" customHeight="1" x14ac:dyDescent="0.35">
      <c r="B13" s="231" t="s">
        <v>426</v>
      </c>
      <c r="C13" s="81">
        <v>2.2790000000000001E-4</v>
      </c>
      <c r="D13" s="78" t="s">
        <v>415</v>
      </c>
      <c r="G13" s="62"/>
      <c r="H13" s="62"/>
      <c r="I13" s="62"/>
      <c r="J13" s="62"/>
      <c r="K13" s="62"/>
      <c r="L13" s="62"/>
      <c r="M13" s="62"/>
      <c r="N13" s="62"/>
      <c r="O13" s="62"/>
      <c r="P13" s="62"/>
      <c r="Q13" s="62"/>
      <c r="R13" s="62"/>
      <c r="S13" s="62"/>
      <c r="T13" s="62"/>
      <c r="U13" s="62"/>
      <c r="V13" s="62"/>
      <c r="W13" s="82"/>
      <c r="X13" s="82"/>
      <c r="Y13" s="62"/>
    </row>
    <row r="14" spans="2:25" ht="20.25" customHeight="1" x14ac:dyDescent="0.25">
      <c r="B14" s="231" t="s">
        <v>47</v>
      </c>
      <c r="C14" s="77">
        <v>502.4</v>
      </c>
      <c r="D14" s="78" t="s">
        <v>48</v>
      </c>
      <c r="G14" s="62"/>
      <c r="H14" s="62"/>
      <c r="I14" s="62"/>
      <c r="J14" s="62"/>
    </row>
    <row r="15" spans="2:25" ht="20.25" customHeight="1" thickBot="1" x14ac:dyDescent="0.3">
      <c r="B15" s="231"/>
      <c r="C15" s="83">
        <v>0.50239999999999996</v>
      </c>
      <c r="D15" s="84" t="s">
        <v>49</v>
      </c>
      <c r="G15" s="62"/>
      <c r="H15" s="62"/>
      <c r="I15" s="62"/>
      <c r="J15" s="62"/>
    </row>
    <row r="16" spans="2:25" ht="15.75" x14ac:dyDescent="0.25">
      <c r="B16" s="85" t="s">
        <v>185</v>
      </c>
      <c r="C16" s="86"/>
      <c r="D16" s="86"/>
      <c r="E16" s="86"/>
      <c r="F16" s="87"/>
      <c r="G16" s="62"/>
      <c r="H16" s="62"/>
      <c r="I16" s="62"/>
      <c r="J16" s="62"/>
    </row>
    <row r="17" spans="2:10" ht="15.75" x14ac:dyDescent="0.25">
      <c r="B17" s="361" t="s">
        <v>423</v>
      </c>
      <c r="C17" s="362"/>
      <c r="D17" s="362"/>
      <c r="E17" s="362"/>
      <c r="F17" s="363"/>
      <c r="G17" s="88"/>
      <c r="H17" s="88"/>
      <c r="I17" s="88"/>
      <c r="J17" s="88"/>
    </row>
    <row r="18" spans="2:10" ht="15.75" x14ac:dyDescent="0.25">
      <c r="B18" s="361" t="s">
        <v>424</v>
      </c>
      <c r="C18" s="362"/>
      <c r="D18" s="362"/>
      <c r="E18" s="362"/>
      <c r="F18" s="363"/>
      <c r="G18" s="88"/>
      <c r="H18" s="88"/>
      <c r="I18" s="88"/>
      <c r="J18" s="88"/>
    </row>
    <row r="19" spans="2:10" ht="15.75" x14ac:dyDescent="0.25">
      <c r="B19" s="361" t="s">
        <v>425</v>
      </c>
      <c r="C19" s="362"/>
      <c r="D19" s="362"/>
      <c r="E19" s="362"/>
      <c r="F19" s="363"/>
      <c r="G19" s="88"/>
      <c r="H19" s="88"/>
      <c r="I19" s="88"/>
      <c r="J19" s="88"/>
    </row>
    <row r="20" spans="2:10" s="90" customFormat="1" ht="15.75" customHeight="1" x14ac:dyDescent="0.25">
      <c r="B20" s="94" t="s">
        <v>188</v>
      </c>
      <c r="C20" s="255"/>
      <c r="D20" s="255"/>
      <c r="E20" s="255"/>
      <c r="F20" s="256"/>
      <c r="G20" s="89"/>
      <c r="H20" s="89"/>
      <c r="I20" s="89"/>
      <c r="J20" s="89"/>
    </row>
    <row r="21" spans="2:10" ht="6.75" customHeight="1" x14ac:dyDescent="0.25">
      <c r="B21" s="91"/>
      <c r="C21" s="92"/>
      <c r="D21" s="92"/>
      <c r="E21" s="92"/>
      <c r="F21" s="93"/>
      <c r="G21" s="92"/>
      <c r="H21" s="92"/>
      <c r="I21" s="92"/>
      <c r="J21" s="92"/>
    </row>
    <row r="22" spans="2:10" ht="15.75" customHeight="1" x14ac:dyDescent="0.25">
      <c r="B22" s="257" t="s">
        <v>189</v>
      </c>
      <c r="C22" s="258"/>
      <c r="D22" s="258"/>
      <c r="E22" s="258"/>
      <c r="F22" s="259"/>
      <c r="G22" s="92"/>
      <c r="H22" s="92"/>
      <c r="I22" s="92"/>
      <c r="J22" s="92"/>
    </row>
    <row r="23" spans="2:10" ht="15.75" x14ac:dyDescent="0.25">
      <c r="B23" s="225" t="s">
        <v>190</v>
      </c>
      <c r="C23" s="92"/>
      <c r="D23" s="92"/>
      <c r="E23" s="92"/>
      <c r="F23" s="93"/>
      <c r="G23" s="92"/>
      <c r="H23" s="92"/>
      <c r="I23" s="92"/>
      <c r="J23" s="92"/>
    </row>
    <row r="24" spans="2:10" ht="6.75" customHeight="1" x14ac:dyDescent="0.25">
      <c r="B24" s="95"/>
      <c r="C24" s="96"/>
      <c r="D24" s="96"/>
      <c r="E24" s="96"/>
      <c r="F24" s="97"/>
      <c r="G24" s="62"/>
      <c r="H24" s="62"/>
      <c r="I24" s="62"/>
      <c r="J24" s="62"/>
    </row>
    <row r="25" spans="2:10" ht="15.75" x14ac:dyDescent="0.25">
      <c r="B25" s="91" t="s">
        <v>186</v>
      </c>
      <c r="C25" s="98"/>
      <c r="D25" s="98"/>
      <c r="E25" s="98"/>
      <c r="F25" s="97"/>
      <c r="G25" s="62"/>
      <c r="H25" s="62"/>
      <c r="I25" s="62"/>
      <c r="J25" s="62"/>
    </row>
    <row r="26" spans="2:10" ht="16.5" thickBot="1" x14ac:dyDescent="0.3">
      <c r="B26" s="260" t="s">
        <v>187</v>
      </c>
      <c r="C26" s="261"/>
      <c r="D26" s="261"/>
      <c r="E26" s="261"/>
      <c r="F26" s="99"/>
      <c r="G26" s="62"/>
      <c r="H26" s="62"/>
      <c r="I26" s="62"/>
      <c r="J26" s="62"/>
    </row>
    <row r="27" spans="2:10" ht="15.75" x14ac:dyDescent="0.25">
      <c r="B27" s="96"/>
      <c r="C27" s="96"/>
      <c r="D27" s="96"/>
      <c r="E27" s="96"/>
      <c r="G27" s="62"/>
      <c r="H27" s="62"/>
      <c r="I27" s="62"/>
      <c r="J27" s="62"/>
    </row>
    <row r="28" spans="2:10" ht="15" customHeight="1" thickBot="1" x14ac:dyDescent="0.3">
      <c r="G28" s="62"/>
      <c r="H28" s="62"/>
      <c r="I28" s="62"/>
      <c r="J28" s="62"/>
    </row>
    <row r="29" spans="2:10" ht="20.25" customHeight="1" thickBot="1" x14ac:dyDescent="0.3">
      <c r="B29" s="262" t="s">
        <v>55</v>
      </c>
      <c r="C29" s="263"/>
      <c r="D29" s="263"/>
      <c r="E29" s="263"/>
      <c r="F29" s="264"/>
      <c r="G29" s="62"/>
      <c r="H29" s="62"/>
      <c r="I29" s="62"/>
      <c r="J29" s="62"/>
    </row>
    <row r="30" spans="2:10" ht="20.25" customHeight="1" x14ac:dyDescent="0.25">
      <c r="B30" s="105" t="s">
        <v>52</v>
      </c>
      <c r="C30" s="107" t="s">
        <v>50</v>
      </c>
      <c r="D30" s="107" t="s">
        <v>51</v>
      </c>
      <c r="E30" s="107" t="s">
        <v>48</v>
      </c>
      <c r="F30" s="108" t="s">
        <v>49</v>
      </c>
      <c r="G30" s="62"/>
      <c r="H30" s="62"/>
      <c r="I30" s="62"/>
      <c r="J30" s="62"/>
    </row>
    <row r="31" spans="2:10" ht="20.25" customHeight="1" x14ac:dyDescent="0.25">
      <c r="B31" s="109" t="s">
        <v>53</v>
      </c>
      <c r="C31" s="101">
        <v>9.0000000000000002E-6</v>
      </c>
      <c r="D31" s="110">
        <v>8.9999999999999995E-9</v>
      </c>
      <c r="E31" s="100">
        <v>2.0400000000000001E-2</v>
      </c>
      <c r="F31" s="111">
        <v>2.0400000000000001E-5</v>
      </c>
      <c r="G31" s="62"/>
      <c r="H31" s="62"/>
      <c r="I31" s="62"/>
      <c r="J31" s="62"/>
    </row>
    <row r="32" spans="2:10" ht="20.25" customHeight="1" x14ac:dyDescent="0.25">
      <c r="B32" s="109" t="s">
        <v>329</v>
      </c>
      <c r="C32" s="101">
        <v>5.8E-5</v>
      </c>
      <c r="D32" s="110">
        <v>5.8000000000000003E-8</v>
      </c>
      <c r="E32" s="100">
        <v>0.128</v>
      </c>
      <c r="F32" s="111">
        <v>1.2799999999999999E-4</v>
      </c>
      <c r="G32" s="62"/>
      <c r="H32" s="62"/>
      <c r="I32" s="62"/>
      <c r="J32" s="62"/>
    </row>
    <row r="33" spans="2:12" ht="20.25" customHeight="1" x14ac:dyDescent="0.25">
      <c r="B33" s="109" t="s">
        <v>54</v>
      </c>
      <c r="C33" s="101">
        <v>1.7E-5</v>
      </c>
      <c r="D33" s="110">
        <v>1.7E-8</v>
      </c>
      <c r="E33" s="100">
        <v>3.78E-2</v>
      </c>
      <c r="F33" s="111">
        <v>3.7799999999999997E-5</v>
      </c>
      <c r="G33" s="62"/>
      <c r="H33" s="62"/>
      <c r="I33" s="62"/>
      <c r="J33" s="62"/>
    </row>
    <row r="34" spans="2:12" ht="20.25" customHeight="1" x14ac:dyDescent="0.25">
      <c r="B34" s="109" t="s">
        <v>330</v>
      </c>
      <c r="C34" s="101">
        <v>1.5999999999999999E-5</v>
      </c>
      <c r="D34" s="110">
        <v>1.6000000000000001E-8</v>
      </c>
      <c r="E34" s="100">
        <v>3.5299999999999998E-2</v>
      </c>
      <c r="F34" s="111">
        <v>3.5299999999999997E-5</v>
      </c>
      <c r="G34" s="62"/>
      <c r="H34" s="62"/>
      <c r="I34" s="62"/>
      <c r="J34" s="62"/>
    </row>
    <row r="35" spans="2:12" ht="20.25" customHeight="1" thickBot="1" x14ac:dyDescent="0.3">
      <c r="B35" s="112" t="s">
        <v>331</v>
      </c>
      <c r="C35" s="103">
        <v>1.5E-5</v>
      </c>
      <c r="D35" s="113">
        <v>1.4999999999999999E-8</v>
      </c>
      <c r="E35" s="102">
        <v>3.2099999999999997E-2</v>
      </c>
      <c r="F35" s="114">
        <v>3.2100000000000001E-5</v>
      </c>
      <c r="G35" s="62"/>
      <c r="H35" s="62"/>
      <c r="I35" s="62"/>
      <c r="J35" s="62"/>
    </row>
    <row r="36" spans="2:12" ht="20.25" customHeight="1" x14ac:dyDescent="0.25">
      <c r="B36" s="85" t="s">
        <v>185</v>
      </c>
      <c r="C36" s="86"/>
      <c r="D36" s="86"/>
      <c r="E36" s="86"/>
      <c r="F36" s="86"/>
      <c r="G36" s="86"/>
      <c r="H36" s="87"/>
      <c r="I36" s="62"/>
      <c r="J36" s="62"/>
    </row>
    <row r="37" spans="2:12" ht="15.75" customHeight="1" x14ac:dyDescent="0.25">
      <c r="B37" s="358" t="s">
        <v>420</v>
      </c>
      <c r="C37" s="359"/>
      <c r="D37" s="359"/>
      <c r="E37" s="359"/>
      <c r="F37" s="359"/>
      <c r="G37" s="359"/>
      <c r="H37" s="360"/>
      <c r="I37" s="88"/>
      <c r="J37" s="88"/>
    </row>
    <row r="38" spans="2:12" ht="15.75" x14ac:dyDescent="0.25">
      <c r="B38" s="361" t="s">
        <v>421</v>
      </c>
      <c r="C38" s="362"/>
      <c r="D38" s="362"/>
      <c r="E38" s="362"/>
      <c r="F38" s="362"/>
      <c r="G38" s="362"/>
      <c r="H38" s="363"/>
      <c r="I38" s="88"/>
      <c r="J38" s="88"/>
    </row>
    <row r="39" spans="2:12" ht="15.75" x14ac:dyDescent="0.25">
      <c r="B39" s="361" t="s">
        <v>422</v>
      </c>
      <c r="C39" s="362"/>
      <c r="D39" s="362"/>
      <c r="E39" s="362"/>
      <c r="F39" s="362"/>
      <c r="G39" s="362"/>
      <c r="H39" s="363"/>
      <c r="I39" s="88"/>
      <c r="J39" s="88"/>
    </row>
    <row r="40" spans="2:12" ht="15.75" x14ac:dyDescent="0.25">
      <c r="B40" s="94" t="s">
        <v>191</v>
      </c>
      <c r="C40" s="255"/>
      <c r="D40" s="255"/>
      <c r="E40" s="255"/>
      <c r="F40" s="255"/>
      <c r="G40" s="255"/>
      <c r="H40" s="256"/>
      <c r="I40" s="92"/>
      <c r="J40" s="92"/>
    </row>
    <row r="41" spans="2:12" ht="6.75" customHeight="1" x14ac:dyDescent="0.25">
      <c r="B41" s="91"/>
      <c r="C41" s="92"/>
      <c r="D41" s="92"/>
      <c r="E41" s="92"/>
      <c r="F41" s="92"/>
      <c r="G41" s="92"/>
      <c r="H41" s="93"/>
      <c r="I41" s="92"/>
      <c r="J41" s="92"/>
    </row>
    <row r="42" spans="2:12" ht="15.75" x14ac:dyDescent="0.25">
      <c r="B42" s="257" t="s">
        <v>192</v>
      </c>
      <c r="C42" s="258"/>
      <c r="D42" s="258"/>
      <c r="E42" s="258"/>
      <c r="F42" s="258"/>
      <c r="G42" s="258"/>
      <c r="H42" s="259"/>
      <c r="I42" s="92"/>
      <c r="J42" s="92"/>
    </row>
    <row r="43" spans="2:12" ht="16.5" thickBot="1" x14ac:dyDescent="0.3">
      <c r="B43" s="115" t="s">
        <v>190</v>
      </c>
      <c r="C43" s="106"/>
      <c r="D43" s="357"/>
      <c r="E43" s="106"/>
      <c r="F43" s="106"/>
      <c r="G43" s="106"/>
      <c r="H43" s="116"/>
      <c r="I43" s="92"/>
      <c r="J43" s="92"/>
    </row>
    <row r="44" spans="2:12" ht="15.75" x14ac:dyDescent="0.25">
      <c r="B44" s="117"/>
      <c r="C44" s="118"/>
      <c r="D44" s="119"/>
      <c r="E44" s="120"/>
      <c r="F44" s="118"/>
      <c r="G44" s="62"/>
      <c r="H44" s="62"/>
      <c r="I44" s="62"/>
      <c r="J44" s="62"/>
    </row>
    <row r="45" spans="2:12" ht="16.5" thickBot="1" x14ac:dyDescent="0.3">
      <c r="B45" s="70"/>
      <c r="C45" s="70"/>
      <c r="D45" s="70"/>
      <c r="E45" s="70"/>
      <c r="F45" s="70"/>
      <c r="G45" s="62"/>
      <c r="H45" s="62"/>
      <c r="I45" s="62"/>
      <c r="J45" s="62"/>
    </row>
    <row r="46" spans="2:12" s="70" customFormat="1" ht="15" customHeight="1" thickBot="1" x14ac:dyDescent="0.3">
      <c r="B46" s="265" t="s">
        <v>75</v>
      </c>
      <c r="C46" s="266"/>
      <c r="D46" s="266"/>
      <c r="E46" s="266"/>
      <c r="F46" s="266"/>
      <c r="G46" s="266"/>
      <c r="H46" s="266"/>
      <c r="I46" s="266"/>
      <c r="J46" s="433"/>
      <c r="K46" s="433"/>
      <c r="L46" s="434"/>
    </row>
    <row r="47" spans="2:12" s="70" customFormat="1" ht="33.75" customHeight="1" x14ac:dyDescent="0.25">
      <c r="B47" s="350"/>
      <c r="C47" s="351" t="s">
        <v>76</v>
      </c>
      <c r="D47" s="352" t="s">
        <v>77</v>
      </c>
      <c r="E47" s="353" t="s">
        <v>185</v>
      </c>
      <c r="F47" s="353"/>
      <c r="G47" s="353"/>
      <c r="H47" s="353"/>
      <c r="I47" s="431"/>
      <c r="J47" s="437" t="s">
        <v>474</v>
      </c>
      <c r="K47" s="351" t="s">
        <v>472</v>
      </c>
      <c r="L47" s="438" t="s">
        <v>473</v>
      </c>
    </row>
    <row r="48" spans="2:12" s="70" customFormat="1" ht="18.75" x14ac:dyDescent="0.35">
      <c r="B48" s="121" t="s">
        <v>78</v>
      </c>
      <c r="C48" s="122">
        <v>3327.7550000000001</v>
      </c>
      <c r="D48" s="347" t="s">
        <v>409</v>
      </c>
      <c r="E48" s="268" t="s">
        <v>193</v>
      </c>
      <c r="F48" s="269"/>
      <c r="G48" s="269"/>
      <c r="H48" s="269"/>
      <c r="I48" s="269"/>
      <c r="J48" s="435" t="str">
        <f>IF(C48&lt;10,"Yes","No")</f>
        <v>No</v>
      </c>
      <c r="K48" s="122" t="str">
        <f>IF(C48&gt;3900,"Yes","No")</f>
        <v>No</v>
      </c>
      <c r="L48" s="78" t="str">
        <f>IF(C48&lt;1500,"Yes","No")</f>
        <v>No</v>
      </c>
    </row>
    <row r="49" spans="2:12" s="70" customFormat="1" ht="18.75" x14ac:dyDescent="0.35">
      <c r="B49" s="121" t="s">
        <v>79</v>
      </c>
      <c r="C49" s="122">
        <v>1810</v>
      </c>
      <c r="D49" s="347" t="s">
        <v>409</v>
      </c>
      <c r="E49" s="348" t="s">
        <v>441</v>
      </c>
      <c r="F49" s="349"/>
      <c r="G49" s="349"/>
      <c r="H49" s="349"/>
      <c r="I49" s="349"/>
      <c r="J49" s="435" t="str">
        <f t="shared" ref="J49:J112" si="0">IF(C49&lt;10,"Yes","No")</f>
        <v>No</v>
      </c>
      <c r="K49" s="122" t="str">
        <f t="shared" ref="K49:K112" si="1">IF(C49&gt;3900,"Yes","No")</f>
        <v>No</v>
      </c>
      <c r="L49" s="78" t="str">
        <f t="shared" ref="L49:L112" si="2">IF(C49&lt;1500,"Yes","No")</f>
        <v>No</v>
      </c>
    </row>
    <row r="50" spans="2:12" s="70" customFormat="1" ht="18.75" x14ac:dyDescent="0.35">
      <c r="B50" s="121" t="s">
        <v>197</v>
      </c>
      <c r="C50" s="582">
        <v>3</v>
      </c>
      <c r="D50" s="347" t="s">
        <v>409</v>
      </c>
      <c r="E50" s="348" t="s">
        <v>441</v>
      </c>
      <c r="F50" s="349"/>
      <c r="G50" s="349"/>
      <c r="H50" s="349"/>
      <c r="I50" s="349"/>
      <c r="J50" s="435" t="str">
        <f t="shared" si="0"/>
        <v>Yes</v>
      </c>
      <c r="K50" s="122" t="str">
        <f t="shared" si="1"/>
        <v>No</v>
      </c>
      <c r="L50" s="78" t="str">
        <f t="shared" si="2"/>
        <v>Yes</v>
      </c>
    </row>
    <row r="51" spans="2:12" s="70" customFormat="1" ht="18.75" x14ac:dyDescent="0.35">
      <c r="B51" s="121" t="s">
        <v>81</v>
      </c>
      <c r="C51" s="582">
        <v>3922</v>
      </c>
      <c r="D51" s="347" t="s">
        <v>409</v>
      </c>
      <c r="E51" s="348" t="s">
        <v>441</v>
      </c>
      <c r="F51" s="269"/>
      <c r="G51" s="269"/>
      <c r="H51" s="269"/>
      <c r="I51" s="269"/>
      <c r="J51" s="435" t="str">
        <f t="shared" si="0"/>
        <v>No</v>
      </c>
      <c r="K51" s="122" t="str">
        <f t="shared" si="1"/>
        <v>Yes</v>
      </c>
      <c r="L51" s="78" t="str">
        <f t="shared" si="2"/>
        <v>No</v>
      </c>
    </row>
    <row r="52" spans="2:12" s="70" customFormat="1" ht="18.75" x14ac:dyDescent="0.35">
      <c r="B52" s="121" t="s">
        <v>135</v>
      </c>
      <c r="C52" s="582">
        <v>1386</v>
      </c>
      <c r="D52" s="347" t="s">
        <v>409</v>
      </c>
      <c r="E52" s="348" t="s">
        <v>441</v>
      </c>
      <c r="F52" s="349"/>
      <c r="G52" s="349"/>
      <c r="H52" s="349"/>
      <c r="I52" s="349"/>
      <c r="J52" s="435" t="str">
        <f t="shared" si="0"/>
        <v>No</v>
      </c>
      <c r="K52" s="122" t="str">
        <f t="shared" si="1"/>
        <v>No</v>
      </c>
      <c r="L52" s="78" t="str">
        <f t="shared" si="2"/>
        <v>Yes</v>
      </c>
    </row>
    <row r="53" spans="2:12" s="70" customFormat="1" ht="18.75" x14ac:dyDescent="0.35">
      <c r="B53" s="121" t="s">
        <v>376</v>
      </c>
      <c r="C53" s="582">
        <v>1396</v>
      </c>
      <c r="D53" s="347" t="s">
        <v>409</v>
      </c>
      <c r="E53" s="348" t="s">
        <v>441</v>
      </c>
      <c r="F53" s="349"/>
      <c r="G53" s="349"/>
      <c r="H53" s="349"/>
      <c r="I53" s="349"/>
      <c r="J53" s="435" t="str">
        <f t="shared" si="0"/>
        <v>No</v>
      </c>
      <c r="K53" s="122" t="str">
        <f t="shared" si="1"/>
        <v>No</v>
      </c>
      <c r="L53" s="78" t="str">
        <f t="shared" si="2"/>
        <v>Yes</v>
      </c>
    </row>
    <row r="54" spans="2:12" s="70" customFormat="1" ht="18.75" x14ac:dyDescent="0.35">
      <c r="B54" s="121" t="s">
        <v>416</v>
      </c>
      <c r="C54" s="122">
        <v>3985</v>
      </c>
      <c r="D54" s="347" t="s">
        <v>409</v>
      </c>
      <c r="E54" s="348" t="s">
        <v>441</v>
      </c>
      <c r="F54" s="349"/>
      <c r="G54" s="349"/>
      <c r="H54" s="349"/>
      <c r="I54" s="349"/>
      <c r="J54" s="435" t="str">
        <f t="shared" si="0"/>
        <v>No</v>
      </c>
      <c r="K54" s="122" t="str">
        <f t="shared" si="1"/>
        <v>Yes</v>
      </c>
      <c r="L54" s="78" t="str">
        <f t="shared" si="2"/>
        <v>No</v>
      </c>
    </row>
    <row r="55" spans="2:12" s="70" customFormat="1" ht="18.75" x14ac:dyDescent="0.35">
      <c r="B55" s="121" t="s">
        <v>195</v>
      </c>
      <c r="C55" s="122">
        <v>0</v>
      </c>
      <c r="D55" s="347" t="s">
        <v>409</v>
      </c>
      <c r="E55" s="348" t="s">
        <v>441</v>
      </c>
      <c r="F55" s="349"/>
      <c r="G55" s="349"/>
      <c r="H55" s="349"/>
      <c r="I55" s="349"/>
      <c r="J55" s="435" t="str">
        <f t="shared" si="0"/>
        <v>Yes</v>
      </c>
      <c r="K55" s="122" t="str">
        <f t="shared" si="1"/>
        <v>No</v>
      </c>
      <c r="L55" s="78" t="str">
        <f t="shared" si="2"/>
        <v>Yes</v>
      </c>
    </row>
    <row r="56" spans="2:12" s="70" customFormat="1" ht="18.75" x14ac:dyDescent="0.35">
      <c r="B56" s="346" t="s">
        <v>419</v>
      </c>
      <c r="C56" s="122">
        <v>0</v>
      </c>
      <c r="D56" s="347" t="s">
        <v>409</v>
      </c>
      <c r="E56" s="348" t="s">
        <v>194</v>
      </c>
      <c r="F56" s="349"/>
      <c r="G56" s="349"/>
      <c r="H56" s="349"/>
      <c r="I56" s="432" t="s">
        <v>454</v>
      </c>
      <c r="J56" s="435" t="str">
        <f t="shared" si="0"/>
        <v>Yes</v>
      </c>
      <c r="K56" s="122" t="str">
        <f t="shared" si="1"/>
        <v>No</v>
      </c>
      <c r="L56" s="78" t="str">
        <f t="shared" si="2"/>
        <v>Yes</v>
      </c>
    </row>
    <row r="57" spans="2:12" s="70" customFormat="1" ht="18.75" x14ac:dyDescent="0.35">
      <c r="B57" s="346" t="s">
        <v>418</v>
      </c>
      <c r="C57" s="122">
        <v>0</v>
      </c>
      <c r="D57" s="347" t="s">
        <v>409</v>
      </c>
      <c r="E57" s="348" t="s">
        <v>194</v>
      </c>
      <c r="F57" s="349"/>
      <c r="G57" s="349"/>
      <c r="H57" s="349"/>
      <c r="I57" s="432" t="s">
        <v>454</v>
      </c>
      <c r="J57" s="435" t="str">
        <f t="shared" si="0"/>
        <v>Yes</v>
      </c>
      <c r="K57" s="122" t="str">
        <f t="shared" si="1"/>
        <v>No</v>
      </c>
      <c r="L57" s="78" t="str">
        <f t="shared" si="2"/>
        <v>Yes</v>
      </c>
    </row>
    <row r="58" spans="2:12" s="70" customFormat="1" ht="18.75" x14ac:dyDescent="0.35">
      <c r="B58" s="121" t="s">
        <v>196</v>
      </c>
      <c r="C58" s="122">
        <v>1</v>
      </c>
      <c r="D58" s="347" t="s">
        <v>409</v>
      </c>
      <c r="E58" s="348" t="s">
        <v>441</v>
      </c>
      <c r="F58" s="349"/>
      <c r="G58" s="349"/>
      <c r="H58" s="349"/>
      <c r="I58" s="349"/>
      <c r="J58" s="435" t="str">
        <f t="shared" si="0"/>
        <v>Yes</v>
      </c>
      <c r="K58" s="122" t="str">
        <f t="shared" si="1"/>
        <v>No</v>
      </c>
      <c r="L58" s="78" t="str">
        <f t="shared" si="2"/>
        <v>Yes</v>
      </c>
    </row>
    <row r="59" spans="2:12" s="70" customFormat="1" ht="18.75" x14ac:dyDescent="0.35">
      <c r="B59" s="121" t="s">
        <v>83</v>
      </c>
      <c r="C59" s="122">
        <v>4750</v>
      </c>
      <c r="D59" s="347" t="s">
        <v>409</v>
      </c>
      <c r="E59" s="348" t="s">
        <v>194</v>
      </c>
      <c r="F59" s="349"/>
      <c r="G59" s="349"/>
      <c r="H59" s="349"/>
      <c r="I59" s="349"/>
      <c r="J59" s="435" t="str">
        <f t="shared" si="0"/>
        <v>No</v>
      </c>
      <c r="K59" s="122" t="str">
        <f t="shared" si="1"/>
        <v>Yes</v>
      </c>
      <c r="L59" s="78" t="str">
        <f t="shared" si="2"/>
        <v>No</v>
      </c>
    </row>
    <row r="60" spans="2:12" s="70" customFormat="1" ht="18.75" x14ac:dyDescent="0.35">
      <c r="B60" s="121" t="s">
        <v>84</v>
      </c>
      <c r="C60" s="122">
        <v>10900</v>
      </c>
      <c r="D60" s="347" t="s">
        <v>409</v>
      </c>
      <c r="E60" s="348" t="s">
        <v>441</v>
      </c>
      <c r="F60" s="349"/>
      <c r="G60" s="349"/>
      <c r="H60" s="349"/>
      <c r="I60" s="349"/>
      <c r="J60" s="435" t="str">
        <f t="shared" si="0"/>
        <v>No</v>
      </c>
      <c r="K60" s="122" t="str">
        <f t="shared" si="1"/>
        <v>Yes</v>
      </c>
      <c r="L60" s="78" t="str">
        <f t="shared" si="2"/>
        <v>No</v>
      </c>
    </row>
    <row r="61" spans="2:12" s="70" customFormat="1" ht="18.75" x14ac:dyDescent="0.35">
      <c r="B61" s="121" t="s">
        <v>85</v>
      </c>
      <c r="C61" s="122">
        <v>14400</v>
      </c>
      <c r="D61" s="347" t="s">
        <v>409</v>
      </c>
      <c r="E61" s="348" t="s">
        <v>194</v>
      </c>
      <c r="F61" s="349"/>
      <c r="G61" s="349"/>
      <c r="H61" s="349"/>
      <c r="I61" s="349"/>
      <c r="J61" s="435" t="str">
        <f t="shared" si="0"/>
        <v>No</v>
      </c>
      <c r="K61" s="122" t="str">
        <f t="shared" si="1"/>
        <v>Yes</v>
      </c>
      <c r="L61" s="78" t="str">
        <f t="shared" si="2"/>
        <v>No</v>
      </c>
    </row>
    <row r="62" spans="2:12" s="70" customFormat="1" ht="18.75" x14ac:dyDescent="0.35">
      <c r="B62" s="121" t="s">
        <v>86</v>
      </c>
      <c r="C62" s="122">
        <v>7140</v>
      </c>
      <c r="D62" s="347" t="s">
        <v>409</v>
      </c>
      <c r="E62" s="348" t="s">
        <v>194</v>
      </c>
      <c r="F62" s="349"/>
      <c r="G62" s="349"/>
      <c r="H62" s="349"/>
      <c r="I62" s="349"/>
      <c r="J62" s="435" t="str">
        <f t="shared" si="0"/>
        <v>No</v>
      </c>
      <c r="K62" s="122" t="str">
        <f t="shared" si="1"/>
        <v>Yes</v>
      </c>
      <c r="L62" s="78" t="str">
        <f t="shared" si="2"/>
        <v>No</v>
      </c>
    </row>
    <row r="63" spans="2:12" s="70" customFormat="1" ht="18.75" x14ac:dyDescent="0.35">
      <c r="B63" s="121" t="s">
        <v>87</v>
      </c>
      <c r="C63" s="122">
        <v>7390</v>
      </c>
      <c r="D63" s="347" t="s">
        <v>409</v>
      </c>
      <c r="E63" s="348" t="s">
        <v>194</v>
      </c>
      <c r="F63" s="349"/>
      <c r="G63" s="349"/>
      <c r="H63" s="349"/>
      <c r="I63" s="349"/>
      <c r="J63" s="435" t="str">
        <f t="shared" si="0"/>
        <v>No</v>
      </c>
      <c r="K63" s="122" t="str">
        <f t="shared" si="1"/>
        <v>Yes</v>
      </c>
      <c r="L63" s="78" t="str">
        <f t="shared" si="2"/>
        <v>No</v>
      </c>
    </row>
    <row r="64" spans="2:12" s="70" customFormat="1" ht="18.75" x14ac:dyDescent="0.35">
      <c r="B64" s="121" t="s">
        <v>88</v>
      </c>
      <c r="C64" s="122">
        <v>14800</v>
      </c>
      <c r="D64" s="347" t="s">
        <v>409</v>
      </c>
      <c r="E64" s="268" t="s">
        <v>194</v>
      </c>
      <c r="F64" s="269"/>
      <c r="G64" s="269"/>
      <c r="H64" s="269"/>
      <c r="I64" s="269"/>
      <c r="J64" s="435" t="str">
        <f t="shared" si="0"/>
        <v>No</v>
      </c>
      <c r="K64" s="122" t="str">
        <f t="shared" si="1"/>
        <v>Yes</v>
      </c>
      <c r="L64" s="78" t="str">
        <f t="shared" si="2"/>
        <v>No</v>
      </c>
    </row>
    <row r="65" spans="2:12" s="70" customFormat="1" ht="18.75" x14ac:dyDescent="0.35">
      <c r="B65" s="121" t="s">
        <v>89</v>
      </c>
      <c r="C65" s="122">
        <v>675</v>
      </c>
      <c r="D65" s="347" t="s">
        <v>409</v>
      </c>
      <c r="E65" s="348" t="s">
        <v>194</v>
      </c>
      <c r="F65" s="349"/>
      <c r="G65" s="349"/>
      <c r="H65" s="349"/>
      <c r="I65" s="349"/>
      <c r="J65" s="435" t="str">
        <f t="shared" si="0"/>
        <v>No</v>
      </c>
      <c r="K65" s="122" t="str">
        <f t="shared" si="1"/>
        <v>No</v>
      </c>
      <c r="L65" s="78" t="str">
        <f t="shared" si="2"/>
        <v>Yes</v>
      </c>
    </row>
    <row r="66" spans="2:12" s="70" customFormat="1" ht="18.75" x14ac:dyDescent="0.35">
      <c r="B66" s="121" t="s">
        <v>90</v>
      </c>
      <c r="C66" s="122">
        <v>6130</v>
      </c>
      <c r="D66" s="347" t="s">
        <v>409</v>
      </c>
      <c r="E66" s="348" t="s">
        <v>194</v>
      </c>
      <c r="F66" s="349"/>
      <c r="G66" s="349"/>
      <c r="H66" s="349"/>
      <c r="I66" s="349"/>
      <c r="J66" s="435" t="str">
        <f t="shared" si="0"/>
        <v>No</v>
      </c>
      <c r="K66" s="122" t="str">
        <f t="shared" si="1"/>
        <v>Yes</v>
      </c>
      <c r="L66" s="78" t="str">
        <f t="shared" si="2"/>
        <v>No</v>
      </c>
    </row>
    <row r="67" spans="2:12" s="70" customFormat="1" ht="18.75" x14ac:dyDescent="0.35">
      <c r="B67" s="121" t="s">
        <v>91</v>
      </c>
      <c r="C67" s="122">
        <v>10000</v>
      </c>
      <c r="D67" s="347" t="s">
        <v>409</v>
      </c>
      <c r="E67" s="348" t="s">
        <v>194</v>
      </c>
      <c r="F67" s="349"/>
      <c r="G67" s="349"/>
      <c r="H67" s="349"/>
      <c r="I67" s="349"/>
      <c r="J67" s="435" t="str">
        <f t="shared" si="0"/>
        <v>No</v>
      </c>
      <c r="K67" s="122" t="str">
        <f t="shared" si="1"/>
        <v>Yes</v>
      </c>
      <c r="L67" s="78" t="str">
        <f t="shared" si="2"/>
        <v>No</v>
      </c>
    </row>
    <row r="68" spans="2:12" s="70" customFormat="1" ht="18.75" x14ac:dyDescent="0.35">
      <c r="B68" s="121" t="s">
        <v>92</v>
      </c>
      <c r="C68" s="122">
        <v>7370</v>
      </c>
      <c r="D68" s="347" t="s">
        <v>409</v>
      </c>
      <c r="E68" s="348" t="s">
        <v>194</v>
      </c>
      <c r="F68" s="349"/>
      <c r="G68" s="349"/>
      <c r="H68" s="349"/>
      <c r="I68" s="349"/>
      <c r="J68" s="435" t="str">
        <f t="shared" si="0"/>
        <v>No</v>
      </c>
      <c r="K68" s="122" t="str">
        <f t="shared" si="1"/>
        <v>Yes</v>
      </c>
      <c r="L68" s="78" t="str">
        <f t="shared" si="2"/>
        <v>No</v>
      </c>
    </row>
    <row r="69" spans="2:12" s="70" customFormat="1" ht="18.75" x14ac:dyDescent="0.35">
      <c r="B69" s="121" t="s">
        <v>93</v>
      </c>
      <c r="C69" s="122">
        <v>12200</v>
      </c>
      <c r="D69" s="347" t="s">
        <v>409</v>
      </c>
      <c r="E69" s="348" t="s">
        <v>194</v>
      </c>
      <c r="F69" s="349"/>
      <c r="G69" s="349"/>
      <c r="H69" s="349"/>
      <c r="I69" s="349"/>
      <c r="J69" s="435" t="str">
        <f t="shared" si="0"/>
        <v>No</v>
      </c>
      <c r="K69" s="122" t="str">
        <f t="shared" si="1"/>
        <v>Yes</v>
      </c>
      <c r="L69" s="78" t="str">
        <f t="shared" si="2"/>
        <v>No</v>
      </c>
    </row>
    <row r="70" spans="2:12" s="70" customFormat="1" ht="18.75" x14ac:dyDescent="0.35">
      <c r="B70" s="121" t="s">
        <v>94</v>
      </c>
      <c r="C70" s="122">
        <v>77</v>
      </c>
      <c r="D70" s="347" t="s">
        <v>409</v>
      </c>
      <c r="E70" s="348" t="s">
        <v>194</v>
      </c>
      <c r="F70" s="349"/>
      <c r="G70" s="349"/>
      <c r="H70" s="349"/>
      <c r="I70" s="349"/>
      <c r="J70" s="435" t="str">
        <f t="shared" si="0"/>
        <v>No</v>
      </c>
      <c r="K70" s="122" t="str">
        <f t="shared" si="1"/>
        <v>No</v>
      </c>
      <c r="L70" s="78" t="str">
        <f t="shared" si="2"/>
        <v>Yes</v>
      </c>
    </row>
    <row r="71" spans="2:12" s="70" customFormat="1" ht="18.75" x14ac:dyDescent="0.35">
      <c r="B71" s="121" t="s">
        <v>95</v>
      </c>
      <c r="C71" s="122">
        <v>609</v>
      </c>
      <c r="D71" s="347" t="s">
        <v>409</v>
      </c>
      <c r="E71" s="348" t="s">
        <v>194</v>
      </c>
      <c r="F71" s="349"/>
      <c r="G71" s="349"/>
      <c r="H71" s="349"/>
      <c r="I71" s="349"/>
      <c r="J71" s="435" t="str">
        <f t="shared" si="0"/>
        <v>No</v>
      </c>
      <c r="K71" s="122" t="str">
        <f t="shared" si="1"/>
        <v>No</v>
      </c>
      <c r="L71" s="78" t="str">
        <f t="shared" si="2"/>
        <v>Yes</v>
      </c>
    </row>
    <row r="72" spans="2:12" s="70" customFormat="1" ht="18.75" x14ac:dyDescent="0.35">
      <c r="B72" s="121" t="s">
        <v>96</v>
      </c>
      <c r="C72" s="122">
        <v>3500</v>
      </c>
      <c r="D72" s="347" t="s">
        <v>409</v>
      </c>
      <c r="E72" s="348" t="s">
        <v>194</v>
      </c>
      <c r="F72" s="349"/>
      <c r="G72" s="349"/>
      <c r="H72" s="349"/>
      <c r="I72" s="349"/>
      <c r="J72" s="435" t="str">
        <f t="shared" si="0"/>
        <v>No</v>
      </c>
      <c r="K72" s="122" t="str">
        <f t="shared" si="1"/>
        <v>No</v>
      </c>
      <c r="L72" s="78" t="str">
        <f t="shared" si="2"/>
        <v>No</v>
      </c>
    </row>
    <row r="73" spans="2:12" s="70" customFormat="1" ht="18.75" x14ac:dyDescent="0.35">
      <c r="B73" s="121" t="s">
        <v>80</v>
      </c>
      <c r="C73" s="122">
        <v>1430</v>
      </c>
      <c r="D73" s="347" t="s">
        <v>409</v>
      </c>
      <c r="E73" s="348" t="s">
        <v>455</v>
      </c>
      <c r="F73" s="349"/>
      <c r="G73" s="349"/>
      <c r="H73" s="349"/>
      <c r="I73" s="349"/>
      <c r="J73" s="435" t="str">
        <f t="shared" si="0"/>
        <v>No</v>
      </c>
      <c r="K73" s="122" t="str">
        <f t="shared" si="1"/>
        <v>No</v>
      </c>
      <c r="L73" s="78" t="str">
        <f t="shared" si="2"/>
        <v>Yes</v>
      </c>
    </row>
    <row r="74" spans="2:12" s="70" customFormat="1" ht="18.75" x14ac:dyDescent="0.35">
      <c r="B74" s="121" t="s">
        <v>97</v>
      </c>
      <c r="C74" s="122">
        <v>725</v>
      </c>
      <c r="D74" s="347" t="s">
        <v>409</v>
      </c>
      <c r="E74" s="348" t="s">
        <v>194</v>
      </c>
      <c r="F74" s="349"/>
      <c r="G74" s="349"/>
      <c r="H74" s="349"/>
      <c r="I74" s="349"/>
      <c r="J74" s="435" t="str">
        <f t="shared" si="0"/>
        <v>No</v>
      </c>
      <c r="K74" s="122" t="str">
        <f t="shared" si="1"/>
        <v>No</v>
      </c>
      <c r="L74" s="78" t="str">
        <f t="shared" si="2"/>
        <v>Yes</v>
      </c>
    </row>
    <row r="75" spans="2:12" s="70" customFormat="1" ht="18.75" x14ac:dyDescent="0.35">
      <c r="B75" s="121" t="s">
        <v>98</v>
      </c>
      <c r="C75" s="122">
        <v>2310</v>
      </c>
      <c r="D75" s="347" t="s">
        <v>409</v>
      </c>
      <c r="E75" s="348" t="s">
        <v>194</v>
      </c>
      <c r="F75" s="349"/>
      <c r="G75" s="349"/>
      <c r="H75" s="349"/>
      <c r="I75" s="349"/>
      <c r="J75" s="435" t="str">
        <f t="shared" si="0"/>
        <v>No</v>
      </c>
      <c r="K75" s="122" t="str">
        <f t="shared" si="1"/>
        <v>No</v>
      </c>
      <c r="L75" s="78" t="str">
        <f t="shared" si="2"/>
        <v>No</v>
      </c>
    </row>
    <row r="76" spans="2:12" s="70" customFormat="1" ht="18.75" x14ac:dyDescent="0.35">
      <c r="B76" s="121" t="s">
        <v>99</v>
      </c>
      <c r="C76" s="122">
        <v>4470</v>
      </c>
      <c r="D76" s="347" t="s">
        <v>409</v>
      </c>
      <c r="E76" s="348" t="s">
        <v>441</v>
      </c>
      <c r="F76" s="269"/>
      <c r="G76" s="269"/>
      <c r="H76" s="269"/>
      <c r="I76" s="269"/>
      <c r="J76" s="435" t="str">
        <f t="shared" si="0"/>
        <v>No</v>
      </c>
      <c r="K76" s="122" t="str">
        <f t="shared" si="1"/>
        <v>Yes</v>
      </c>
      <c r="L76" s="78" t="str">
        <f t="shared" si="2"/>
        <v>No</v>
      </c>
    </row>
    <row r="77" spans="2:12" s="70" customFormat="1" ht="18.75" x14ac:dyDescent="0.35">
      <c r="B77" s="121" t="s">
        <v>100</v>
      </c>
      <c r="C77" s="122">
        <v>124</v>
      </c>
      <c r="D77" s="347" t="s">
        <v>409</v>
      </c>
      <c r="E77" s="348" t="s">
        <v>194</v>
      </c>
      <c r="F77" s="349"/>
      <c r="G77" s="349"/>
      <c r="H77" s="349"/>
      <c r="I77" s="349"/>
      <c r="J77" s="435" t="str">
        <f t="shared" si="0"/>
        <v>No</v>
      </c>
      <c r="K77" s="122" t="str">
        <f t="shared" si="1"/>
        <v>No</v>
      </c>
      <c r="L77" s="78" t="str">
        <f t="shared" si="2"/>
        <v>Yes</v>
      </c>
    </row>
    <row r="78" spans="2:12" s="70" customFormat="1" ht="18.75" x14ac:dyDescent="0.35">
      <c r="B78" s="121" t="s">
        <v>201</v>
      </c>
      <c r="C78" s="122">
        <v>12</v>
      </c>
      <c r="D78" s="347" t="s">
        <v>409</v>
      </c>
      <c r="E78" s="348" t="s">
        <v>194</v>
      </c>
      <c r="F78" s="349"/>
      <c r="G78" s="349"/>
      <c r="H78" s="349"/>
      <c r="I78" s="349"/>
      <c r="J78" s="435" t="str">
        <f t="shared" si="0"/>
        <v>No</v>
      </c>
      <c r="K78" s="122" t="str">
        <f t="shared" si="1"/>
        <v>No</v>
      </c>
      <c r="L78" s="78" t="str">
        <f t="shared" si="2"/>
        <v>Yes</v>
      </c>
    </row>
    <row r="79" spans="2:12" s="70" customFormat="1" ht="18.75" x14ac:dyDescent="0.35">
      <c r="B79" s="121" t="s">
        <v>199</v>
      </c>
      <c r="C79" s="122">
        <v>6</v>
      </c>
      <c r="D79" s="347" t="s">
        <v>409</v>
      </c>
      <c r="E79" s="348" t="s">
        <v>194</v>
      </c>
      <c r="F79" s="349"/>
      <c r="G79" s="349"/>
      <c r="H79" s="349"/>
      <c r="I79" s="432" t="s">
        <v>454</v>
      </c>
      <c r="J79" s="435" t="str">
        <f t="shared" si="0"/>
        <v>Yes</v>
      </c>
      <c r="K79" s="122" t="str">
        <f t="shared" si="1"/>
        <v>No</v>
      </c>
      <c r="L79" s="78" t="str">
        <f t="shared" si="2"/>
        <v>Yes</v>
      </c>
    </row>
    <row r="80" spans="2:12" s="70" customFormat="1" ht="18.75" x14ac:dyDescent="0.35">
      <c r="B80" s="121" t="s">
        <v>101</v>
      </c>
      <c r="C80" s="122">
        <v>8830</v>
      </c>
      <c r="D80" s="347" t="s">
        <v>409</v>
      </c>
      <c r="E80" s="348" t="s">
        <v>194</v>
      </c>
      <c r="F80" s="349"/>
      <c r="G80" s="349"/>
      <c r="H80" s="349"/>
      <c r="I80" s="349"/>
      <c r="J80" s="435" t="str">
        <f t="shared" si="0"/>
        <v>No</v>
      </c>
      <c r="K80" s="122" t="str">
        <f t="shared" si="1"/>
        <v>Yes</v>
      </c>
      <c r="L80" s="78" t="str">
        <f t="shared" si="2"/>
        <v>No</v>
      </c>
    </row>
    <row r="81" spans="2:12" s="70" customFormat="1" ht="18.75" x14ac:dyDescent="0.35">
      <c r="B81" s="121" t="s">
        <v>102</v>
      </c>
      <c r="C81" s="122">
        <v>122</v>
      </c>
      <c r="D81" s="347" t="s">
        <v>409</v>
      </c>
      <c r="E81" s="348" t="s">
        <v>194</v>
      </c>
      <c r="F81" s="349"/>
      <c r="G81" s="349"/>
      <c r="H81" s="349"/>
      <c r="I81" s="349"/>
      <c r="J81" s="435" t="str">
        <f t="shared" si="0"/>
        <v>No</v>
      </c>
      <c r="K81" s="122" t="str">
        <f t="shared" si="1"/>
        <v>No</v>
      </c>
      <c r="L81" s="78" t="str">
        <f t="shared" si="2"/>
        <v>Yes</v>
      </c>
    </row>
    <row r="82" spans="2:12" s="70" customFormat="1" ht="18.75" x14ac:dyDescent="0.35">
      <c r="B82" s="121" t="s">
        <v>103</v>
      </c>
      <c r="C82" s="122">
        <v>595</v>
      </c>
      <c r="D82" s="347" t="s">
        <v>409</v>
      </c>
      <c r="E82" s="348" t="s">
        <v>194</v>
      </c>
      <c r="F82" s="349"/>
      <c r="G82" s="349"/>
      <c r="H82" s="349"/>
      <c r="I82" s="349"/>
      <c r="J82" s="435" t="str">
        <f t="shared" si="0"/>
        <v>No</v>
      </c>
      <c r="K82" s="122" t="str">
        <f t="shared" si="1"/>
        <v>No</v>
      </c>
      <c r="L82" s="78" t="str">
        <f t="shared" si="2"/>
        <v>Yes</v>
      </c>
    </row>
    <row r="83" spans="2:12" s="70" customFormat="1" ht="18.75" x14ac:dyDescent="0.35">
      <c r="B83" s="121" t="s">
        <v>104</v>
      </c>
      <c r="C83" s="122">
        <v>3220</v>
      </c>
      <c r="D83" s="347" t="s">
        <v>409</v>
      </c>
      <c r="E83" s="348" t="s">
        <v>194</v>
      </c>
      <c r="F83" s="349"/>
      <c r="G83" s="349"/>
      <c r="H83" s="349"/>
      <c r="I83" s="349"/>
      <c r="J83" s="435" t="str">
        <f t="shared" si="0"/>
        <v>No</v>
      </c>
      <c r="K83" s="122" t="str">
        <f t="shared" si="1"/>
        <v>No</v>
      </c>
      <c r="L83" s="78" t="str">
        <f t="shared" si="2"/>
        <v>No</v>
      </c>
    </row>
    <row r="84" spans="2:12" s="70" customFormat="1" ht="18.75" x14ac:dyDescent="0.35">
      <c r="B84" s="121" t="s">
        <v>105</v>
      </c>
      <c r="C84" s="122">
        <v>9810</v>
      </c>
      <c r="D84" s="347" t="s">
        <v>409</v>
      </c>
      <c r="E84" s="348" t="s">
        <v>194</v>
      </c>
      <c r="F84" s="349"/>
      <c r="G84" s="349"/>
      <c r="H84" s="349"/>
      <c r="I84" s="349"/>
      <c r="J84" s="435" t="str">
        <f t="shared" si="0"/>
        <v>No</v>
      </c>
      <c r="K84" s="122" t="str">
        <f t="shared" si="1"/>
        <v>Yes</v>
      </c>
      <c r="L84" s="78" t="str">
        <f t="shared" si="2"/>
        <v>No</v>
      </c>
    </row>
    <row r="85" spans="2:12" s="70" customFormat="1" ht="18.75" x14ac:dyDescent="0.35">
      <c r="B85" s="121" t="s">
        <v>106</v>
      </c>
      <c r="C85" s="122">
        <v>1030</v>
      </c>
      <c r="D85" s="347" t="s">
        <v>409</v>
      </c>
      <c r="E85" s="348" t="s">
        <v>194</v>
      </c>
      <c r="F85" s="349"/>
      <c r="G85" s="349"/>
      <c r="H85" s="349"/>
      <c r="I85" s="349"/>
      <c r="J85" s="435" t="str">
        <f t="shared" si="0"/>
        <v>No</v>
      </c>
      <c r="K85" s="122" t="str">
        <f t="shared" si="1"/>
        <v>No</v>
      </c>
      <c r="L85" s="78" t="str">
        <f t="shared" si="2"/>
        <v>Yes</v>
      </c>
    </row>
    <row r="86" spans="2:12" s="70" customFormat="1" ht="18.75" x14ac:dyDescent="0.35">
      <c r="B86" s="346" t="s">
        <v>408</v>
      </c>
      <c r="C86" s="582">
        <v>3</v>
      </c>
      <c r="D86" s="347" t="s">
        <v>409</v>
      </c>
      <c r="E86" s="348" t="s">
        <v>441</v>
      </c>
      <c r="F86" s="349"/>
      <c r="G86" s="349"/>
      <c r="H86" s="349"/>
      <c r="I86" s="349"/>
      <c r="J86" s="435" t="str">
        <f t="shared" si="0"/>
        <v>Yes</v>
      </c>
      <c r="K86" s="122" t="str">
        <f t="shared" si="1"/>
        <v>No</v>
      </c>
      <c r="L86" s="78" t="str">
        <f t="shared" si="2"/>
        <v>Yes</v>
      </c>
    </row>
    <row r="87" spans="2:12" s="70" customFormat="1" ht="18.75" x14ac:dyDescent="0.35">
      <c r="B87" s="121" t="s">
        <v>107</v>
      </c>
      <c r="C87" s="122">
        <v>794</v>
      </c>
      <c r="D87" s="347" t="s">
        <v>409</v>
      </c>
      <c r="E87" s="348" t="s">
        <v>194</v>
      </c>
      <c r="F87" s="349"/>
      <c r="G87" s="349"/>
      <c r="H87" s="349"/>
      <c r="I87" s="349"/>
      <c r="J87" s="435" t="str">
        <f t="shared" si="0"/>
        <v>No</v>
      </c>
      <c r="K87" s="122" t="str">
        <f t="shared" si="1"/>
        <v>No</v>
      </c>
      <c r="L87" s="78" t="str">
        <f t="shared" si="2"/>
        <v>Yes</v>
      </c>
    </row>
    <row r="88" spans="2:12" s="70" customFormat="1" ht="18.75" x14ac:dyDescent="0.35">
      <c r="B88" s="121" t="s">
        <v>108</v>
      </c>
      <c r="C88" s="122">
        <v>1182</v>
      </c>
      <c r="D88" s="347" t="s">
        <v>409</v>
      </c>
      <c r="E88" s="348" t="s">
        <v>441</v>
      </c>
      <c r="F88" s="349"/>
      <c r="G88" s="349"/>
      <c r="H88" s="349"/>
      <c r="I88" s="349"/>
      <c r="J88" s="435" t="str">
        <f t="shared" si="0"/>
        <v>No</v>
      </c>
      <c r="K88" s="122" t="str">
        <f t="shared" si="1"/>
        <v>No</v>
      </c>
      <c r="L88" s="78" t="str">
        <f t="shared" si="2"/>
        <v>Yes</v>
      </c>
    </row>
    <row r="89" spans="2:12" s="70" customFormat="1" ht="18.75" x14ac:dyDescent="0.35">
      <c r="B89" s="121" t="s">
        <v>109</v>
      </c>
      <c r="C89" s="122">
        <v>1288</v>
      </c>
      <c r="D89" s="347" t="s">
        <v>409</v>
      </c>
      <c r="E89" s="348" t="s">
        <v>441</v>
      </c>
      <c r="F89" s="349"/>
      <c r="G89" s="349"/>
      <c r="H89" s="349"/>
      <c r="I89" s="349"/>
      <c r="J89" s="435" t="str">
        <f t="shared" si="0"/>
        <v>No</v>
      </c>
      <c r="K89" s="122" t="str">
        <f t="shared" si="1"/>
        <v>No</v>
      </c>
      <c r="L89" s="78" t="str">
        <f t="shared" si="2"/>
        <v>Yes</v>
      </c>
    </row>
    <row r="90" spans="2:12" s="70" customFormat="1" ht="18.75" x14ac:dyDescent="0.35">
      <c r="B90" s="121" t="s">
        <v>396</v>
      </c>
      <c r="C90" s="122">
        <v>933</v>
      </c>
      <c r="D90" s="347" t="s">
        <v>409</v>
      </c>
      <c r="E90" s="348" t="s">
        <v>194</v>
      </c>
      <c r="F90" s="349"/>
      <c r="G90" s="349"/>
      <c r="H90" s="349"/>
      <c r="I90" s="349"/>
      <c r="J90" s="435" t="str">
        <f t="shared" si="0"/>
        <v>No</v>
      </c>
      <c r="K90" s="122" t="str">
        <f t="shared" si="1"/>
        <v>No</v>
      </c>
      <c r="L90" s="78" t="str">
        <f t="shared" si="2"/>
        <v>Yes</v>
      </c>
    </row>
    <row r="91" spans="2:12" s="70" customFormat="1" ht="18.75" x14ac:dyDescent="0.35">
      <c r="B91" s="121" t="s">
        <v>110</v>
      </c>
      <c r="C91" s="122">
        <v>2788</v>
      </c>
      <c r="D91" s="347" t="s">
        <v>409</v>
      </c>
      <c r="E91" s="348" t="s">
        <v>441</v>
      </c>
      <c r="F91" s="349"/>
      <c r="G91" s="349"/>
      <c r="H91" s="349"/>
      <c r="I91" s="349"/>
      <c r="J91" s="435" t="str">
        <f t="shared" si="0"/>
        <v>No</v>
      </c>
      <c r="K91" s="122" t="str">
        <f t="shared" si="1"/>
        <v>No</v>
      </c>
      <c r="L91" s="78" t="str">
        <f t="shared" si="2"/>
        <v>No</v>
      </c>
    </row>
    <row r="92" spans="2:12" s="70" customFormat="1" ht="18.75" x14ac:dyDescent="0.35">
      <c r="B92" s="121" t="s">
        <v>111</v>
      </c>
      <c r="C92" s="122">
        <v>2416</v>
      </c>
      <c r="D92" s="347" t="s">
        <v>409</v>
      </c>
      <c r="E92" s="348" t="s">
        <v>441</v>
      </c>
      <c r="F92" s="349"/>
      <c r="G92" s="349"/>
      <c r="H92" s="349"/>
      <c r="I92" s="349"/>
      <c r="J92" s="435" t="str">
        <f t="shared" si="0"/>
        <v>No</v>
      </c>
      <c r="K92" s="122" t="str">
        <f t="shared" si="1"/>
        <v>No</v>
      </c>
      <c r="L92" s="78" t="str">
        <f t="shared" si="2"/>
        <v>No</v>
      </c>
    </row>
    <row r="93" spans="2:12" s="70" customFormat="1" ht="18.75" x14ac:dyDescent="0.35">
      <c r="B93" s="121" t="s">
        <v>112</v>
      </c>
      <c r="C93" s="122">
        <v>4457.5</v>
      </c>
      <c r="D93" s="347" t="s">
        <v>409</v>
      </c>
      <c r="E93" s="348" t="s">
        <v>194</v>
      </c>
      <c r="F93" s="349"/>
      <c r="G93" s="349"/>
      <c r="H93" s="349"/>
      <c r="I93" s="349"/>
      <c r="J93" s="435" t="str">
        <f t="shared" si="0"/>
        <v>No</v>
      </c>
      <c r="K93" s="122" t="str">
        <f t="shared" si="1"/>
        <v>Yes</v>
      </c>
      <c r="L93" s="78" t="str">
        <f t="shared" si="2"/>
        <v>No</v>
      </c>
    </row>
    <row r="94" spans="2:12" s="70" customFormat="1" ht="18.75" x14ac:dyDescent="0.35">
      <c r="B94" s="121" t="s">
        <v>113</v>
      </c>
      <c r="C94" s="122">
        <v>1943</v>
      </c>
      <c r="D94" s="347" t="s">
        <v>409</v>
      </c>
      <c r="E94" s="348" t="s">
        <v>441</v>
      </c>
      <c r="F94" s="349"/>
      <c r="G94" s="349"/>
      <c r="H94" s="349"/>
      <c r="I94" s="349"/>
      <c r="J94" s="435" t="str">
        <f t="shared" si="0"/>
        <v>No</v>
      </c>
      <c r="K94" s="122" t="str">
        <f t="shared" si="1"/>
        <v>No</v>
      </c>
      <c r="L94" s="78" t="str">
        <f t="shared" si="2"/>
        <v>No</v>
      </c>
    </row>
    <row r="95" spans="2:12" s="70" customFormat="1" ht="18.75" x14ac:dyDescent="0.35">
      <c r="B95" s="121" t="s">
        <v>82</v>
      </c>
      <c r="C95" s="122">
        <v>2107</v>
      </c>
      <c r="D95" s="347" t="s">
        <v>409</v>
      </c>
      <c r="E95" s="348" t="s">
        <v>441</v>
      </c>
      <c r="F95" s="349"/>
      <c r="G95" s="349"/>
      <c r="H95" s="349"/>
      <c r="I95" s="349"/>
      <c r="J95" s="435" t="str">
        <f t="shared" si="0"/>
        <v>No</v>
      </c>
      <c r="K95" s="122" t="str">
        <f t="shared" si="1"/>
        <v>No</v>
      </c>
      <c r="L95" s="78" t="str">
        <f t="shared" si="2"/>
        <v>No</v>
      </c>
    </row>
    <row r="96" spans="2:12" s="70" customFormat="1" ht="18.75" x14ac:dyDescent="0.35">
      <c r="B96" s="121" t="s">
        <v>391</v>
      </c>
      <c r="C96" s="582">
        <v>2803</v>
      </c>
      <c r="D96" s="347" t="s">
        <v>409</v>
      </c>
      <c r="E96" s="348" t="s">
        <v>441</v>
      </c>
      <c r="F96" s="349"/>
      <c r="G96" s="349"/>
      <c r="H96" s="349"/>
      <c r="I96" s="349"/>
      <c r="J96" s="435" t="str">
        <f t="shared" si="0"/>
        <v>No</v>
      </c>
      <c r="K96" s="122" t="str">
        <f t="shared" si="1"/>
        <v>No</v>
      </c>
      <c r="L96" s="78" t="str">
        <f t="shared" si="2"/>
        <v>No</v>
      </c>
    </row>
    <row r="97" spans="2:12" s="70" customFormat="1" ht="18.75" x14ac:dyDescent="0.35">
      <c r="B97" s="121" t="s">
        <v>114</v>
      </c>
      <c r="C97" s="122">
        <v>1774</v>
      </c>
      <c r="D97" s="347" t="s">
        <v>409</v>
      </c>
      <c r="E97" s="348" t="s">
        <v>441</v>
      </c>
      <c r="F97" s="349"/>
      <c r="G97" s="349"/>
      <c r="H97" s="349"/>
      <c r="I97" s="349"/>
      <c r="J97" s="435" t="str">
        <f t="shared" si="0"/>
        <v>No</v>
      </c>
      <c r="K97" s="122" t="str">
        <f t="shared" si="1"/>
        <v>No</v>
      </c>
      <c r="L97" s="78" t="str">
        <f t="shared" si="2"/>
        <v>No</v>
      </c>
    </row>
    <row r="98" spans="2:12" s="70" customFormat="1" ht="18.75" x14ac:dyDescent="0.35">
      <c r="B98" s="121" t="s">
        <v>382</v>
      </c>
      <c r="C98" s="122">
        <v>1627</v>
      </c>
      <c r="D98" s="347" t="s">
        <v>409</v>
      </c>
      <c r="E98" s="348" t="s">
        <v>194</v>
      </c>
      <c r="F98" s="349"/>
      <c r="G98" s="349"/>
      <c r="H98" s="349"/>
      <c r="I98" s="349"/>
      <c r="J98" s="435" t="str">
        <f t="shared" si="0"/>
        <v>No</v>
      </c>
      <c r="K98" s="122" t="str">
        <f t="shared" si="1"/>
        <v>No</v>
      </c>
      <c r="L98" s="78" t="str">
        <f t="shared" si="2"/>
        <v>No</v>
      </c>
    </row>
    <row r="99" spans="2:12" s="70" customFormat="1" ht="18.75" x14ac:dyDescent="0.35">
      <c r="B99" s="121" t="s">
        <v>115</v>
      </c>
      <c r="C99" s="122">
        <v>1825</v>
      </c>
      <c r="D99" s="347" t="s">
        <v>409</v>
      </c>
      <c r="E99" s="348" t="s">
        <v>441</v>
      </c>
      <c r="F99" s="349"/>
      <c r="G99" s="349"/>
      <c r="H99" s="349"/>
      <c r="I99" s="349"/>
      <c r="J99" s="435" t="str">
        <f t="shared" si="0"/>
        <v>No</v>
      </c>
      <c r="K99" s="122" t="str">
        <f t="shared" si="1"/>
        <v>No</v>
      </c>
      <c r="L99" s="78" t="str">
        <f t="shared" si="2"/>
        <v>No</v>
      </c>
    </row>
    <row r="100" spans="2:12" s="70" customFormat="1" ht="18.75" x14ac:dyDescent="0.35">
      <c r="B100" s="121" t="s">
        <v>456</v>
      </c>
      <c r="C100" s="122">
        <v>1495</v>
      </c>
      <c r="D100" s="347" t="s">
        <v>409</v>
      </c>
      <c r="E100" s="348" t="s">
        <v>441</v>
      </c>
      <c r="F100" s="349"/>
      <c r="G100" s="349"/>
      <c r="H100" s="349"/>
      <c r="I100" s="349"/>
      <c r="J100" s="435" t="str">
        <f t="shared" si="0"/>
        <v>No</v>
      </c>
      <c r="K100" s="122" t="str">
        <f t="shared" si="1"/>
        <v>No</v>
      </c>
      <c r="L100" s="78" t="str">
        <f t="shared" si="2"/>
        <v>Yes</v>
      </c>
    </row>
    <row r="101" spans="2:12" s="70" customFormat="1" ht="18.75" x14ac:dyDescent="0.35">
      <c r="B101" s="121" t="s">
        <v>116</v>
      </c>
      <c r="C101" s="582">
        <v>3152</v>
      </c>
      <c r="D101" s="347" t="s">
        <v>409</v>
      </c>
      <c r="E101" s="348" t="s">
        <v>441</v>
      </c>
      <c r="F101" s="349"/>
      <c r="G101" s="349"/>
      <c r="H101" s="349"/>
      <c r="I101" s="349"/>
      <c r="J101" s="435" t="str">
        <f t="shared" si="0"/>
        <v>No</v>
      </c>
      <c r="K101" s="122" t="str">
        <f t="shared" si="1"/>
        <v>No</v>
      </c>
      <c r="L101" s="78" t="str">
        <f t="shared" si="2"/>
        <v>No</v>
      </c>
    </row>
    <row r="102" spans="2:12" s="70" customFormat="1" ht="18.75" x14ac:dyDescent="0.35">
      <c r="B102" s="121" t="s">
        <v>117</v>
      </c>
      <c r="C102" s="122">
        <v>1585</v>
      </c>
      <c r="D102" s="347" t="s">
        <v>409</v>
      </c>
      <c r="E102" s="348" t="s">
        <v>441</v>
      </c>
      <c r="F102" s="349"/>
      <c r="G102" s="349"/>
      <c r="H102" s="349"/>
      <c r="I102" s="349"/>
      <c r="J102" s="435" t="str">
        <f t="shared" si="0"/>
        <v>No</v>
      </c>
      <c r="K102" s="122" t="str">
        <f t="shared" si="1"/>
        <v>No</v>
      </c>
      <c r="L102" s="78" t="str">
        <f t="shared" si="2"/>
        <v>No</v>
      </c>
    </row>
    <row r="103" spans="2:12" s="70" customFormat="1" ht="18.75" x14ac:dyDescent="0.35">
      <c r="B103" s="121" t="s">
        <v>118</v>
      </c>
      <c r="C103" s="122">
        <v>2088</v>
      </c>
      <c r="D103" s="347" t="s">
        <v>409</v>
      </c>
      <c r="E103" s="348" t="s">
        <v>441</v>
      </c>
      <c r="F103" s="349"/>
      <c r="G103" s="349"/>
      <c r="H103" s="349"/>
      <c r="I103" s="349"/>
      <c r="J103" s="435" t="str">
        <f t="shared" si="0"/>
        <v>No</v>
      </c>
      <c r="K103" s="122" t="str">
        <f t="shared" si="1"/>
        <v>No</v>
      </c>
      <c r="L103" s="78" t="str">
        <f t="shared" si="2"/>
        <v>No</v>
      </c>
    </row>
    <row r="104" spans="2:12" s="70" customFormat="1" ht="18.75" x14ac:dyDescent="0.35">
      <c r="B104" s="121" t="s">
        <v>394</v>
      </c>
      <c r="C104" s="122">
        <v>2229</v>
      </c>
      <c r="D104" s="347" t="s">
        <v>409</v>
      </c>
      <c r="E104" s="348" t="s">
        <v>194</v>
      </c>
      <c r="F104" s="349"/>
      <c r="G104" s="349"/>
      <c r="H104" s="349"/>
      <c r="I104" s="349"/>
      <c r="J104" s="435" t="str">
        <f t="shared" si="0"/>
        <v>No</v>
      </c>
      <c r="K104" s="122" t="str">
        <f t="shared" si="1"/>
        <v>No</v>
      </c>
      <c r="L104" s="78" t="str">
        <f t="shared" si="2"/>
        <v>No</v>
      </c>
    </row>
    <row r="105" spans="2:12" s="70" customFormat="1" ht="18.75" x14ac:dyDescent="0.35">
      <c r="B105" s="121" t="s">
        <v>380</v>
      </c>
      <c r="C105" s="122">
        <v>1597</v>
      </c>
      <c r="D105" s="347" t="s">
        <v>409</v>
      </c>
      <c r="E105" s="348" t="s">
        <v>441</v>
      </c>
      <c r="F105" s="349"/>
      <c r="G105" s="349"/>
      <c r="H105" s="349"/>
      <c r="I105" s="349"/>
      <c r="J105" s="435" t="str">
        <f t="shared" si="0"/>
        <v>No</v>
      </c>
      <c r="K105" s="122" t="str">
        <f t="shared" si="1"/>
        <v>No</v>
      </c>
      <c r="L105" s="78" t="str">
        <f t="shared" si="2"/>
        <v>No</v>
      </c>
    </row>
    <row r="106" spans="2:12" s="70" customFormat="1" ht="18.75" x14ac:dyDescent="0.35">
      <c r="B106" s="121" t="s">
        <v>383</v>
      </c>
      <c r="C106" s="122">
        <v>1705</v>
      </c>
      <c r="D106" s="347" t="s">
        <v>409</v>
      </c>
      <c r="E106" s="348" t="s">
        <v>441</v>
      </c>
      <c r="F106" s="349"/>
      <c r="G106" s="349"/>
      <c r="H106" s="349"/>
      <c r="I106" s="349"/>
      <c r="J106" s="435" t="str">
        <f t="shared" si="0"/>
        <v>No</v>
      </c>
      <c r="K106" s="122" t="str">
        <f t="shared" si="1"/>
        <v>No</v>
      </c>
      <c r="L106" s="78" t="str">
        <f t="shared" si="2"/>
        <v>No</v>
      </c>
    </row>
    <row r="107" spans="2:12" s="70" customFormat="1" ht="18.75" x14ac:dyDescent="0.35">
      <c r="B107" s="121" t="s">
        <v>119</v>
      </c>
      <c r="C107" s="122">
        <v>2053.25</v>
      </c>
      <c r="D107" s="347" t="s">
        <v>409</v>
      </c>
      <c r="E107" s="348" t="s">
        <v>194</v>
      </c>
      <c r="F107" s="349"/>
      <c r="G107" s="349"/>
      <c r="H107" s="349"/>
      <c r="I107" s="349"/>
      <c r="J107" s="435" t="str">
        <f t="shared" si="0"/>
        <v>No</v>
      </c>
      <c r="K107" s="122" t="str">
        <f t="shared" si="1"/>
        <v>No</v>
      </c>
      <c r="L107" s="78" t="str">
        <f t="shared" si="2"/>
        <v>No</v>
      </c>
    </row>
    <row r="108" spans="2:12" s="70" customFormat="1" ht="18.75" x14ac:dyDescent="0.35">
      <c r="B108" s="121" t="s">
        <v>120</v>
      </c>
      <c r="C108" s="122">
        <v>1478</v>
      </c>
      <c r="D108" s="347" t="s">
        <v>409</v>
      </c>
      <c r="E108" s="348" t="s">
        <v>441</v>
      </c>
      <c r="F108" s="349"/>
      <c r="G108" s="349"/>
      <c r="H108" s="349"/>
      <c r="I108" s="349"/>
      <c r="J108" s="435" t="str">
        <f t="shared" si="0"/>
        <v>No</v>
      </c>
      <c r="K108" s="122" t="str">
        <f t="shared" si="1"/>
        <v>No</v>
      </c>
      <c r="L108" s="78" t="str">
        <f t="shared" si="2"/>
        <v>Yes</v>
      </c>
    </row>
    <row r="109" spans="2:12" s="70" customFormat="1" ht="18.75" x14ac:dyDescent="0.35">
      <c r="B109" s="121" t="s">
        <v>121</v>
      </c>
      <c r="C109" s="122">
        <v>1362</v>
      </c>
      <c r="D109" s="347" t="s">
        <v>409</v>
      </c>
      <c r="E109" s="348" t="s">
        <v>441</v>
      </c>
      <c r="F109" s="349"/>
      <c r="G109" s="349"/>
      <c r="H109" s="349"/>
      <c r="I109" s="349"/>
      <c r="J109" s="435" t="str">
        <f t="shared" si="0"/>
        <v>No</v>
      </c>
      <c r="K109" s="122" t="str">
        <f t="shared" si="1"/>
        <v>No</v>
      </c>
      <c r="L109" s="78" t="str">
        <f t="shared" si="2"/>
        <v>Yes</v>
      </c>
    </row>
    <row r="110" spans="2:12" s="70" customFormat="1" ht="18.75" x14ac:dyDescent="0.35">
      <c r="B110" s="121" t="s">
        <v>122</v>
      </c>
      <c r="C110" s="122">
        <v>1084</v>
      </c>
      <c r="D110" s="347" t="s">
        <v>409</v>
      </c>
      <c r="E110" s="348" t="s">
        <v>441</v>
      </c>
      <c r="F110" s="349"/>
      <c r="G110" s="349"/>
      <c r="H110" s="349"/>
      <c r="I110" s="349"/>
      <c r="J110" s="435" t="str">
        <f t="shared" si="0"/>
        <v>No</v>
      </c>
      <c r="K110" s="122" t="str">
        <f t="shared" si="1"/>
        <v>No</v>
      </c>
      <c r="L110" s="78" t="str">
        <f t="shared" si="2"/>
        <v>Yes</v>
      </c>
    </row>
    <row r="111" spans="2:12" s="70" customFormat="1" ht="18.75" x14ac:dyDescent="0.35">
      <c r="B111" s="121" t="s">
        <v>123</v>
      </c>
      <c r="C111" s="122">
        <v>2346</v>
      </c>
      <c r="D111" s="347" t="s">
        <v>409</v>
      </c>
      <c r="E111" s="348" t="s">
        <v>441</v>
      </c>
      <c r="F111" s="349"/>
      <c r="G111" s="349"/>
      <c r="H111" s="349"/>
      <c r="I111" s="349"/>
      <c r="J111" s="435" t="str">
        <f t="shared" si="0"/>
        <v>No</v>
      </c>
      <c r="K111" s="122" t="str">
        <f t="shared" si="1"/>
        <v>No</v>
      </c>
      <c r="L111" s="78" t="str">
        <f t="shared" si="2"/>
        <v>No</v>
      </c>
    </row>
    <row r="112" spans="2:12" s="70" customFormat="1" ht="18.75" x14ac:dyDescent="0.35">
      <c r="B112" s="121" t="s">
        <v>395</v>
      </c>
      <c r="C112" s="122">
        <v>1809</v>
      </c>
      <c r="D112" s="347" t="s">
        <v>409</v>
      </c>
      <c r="E112" s="348" t="s">
        <v>441</v>
      </c>
      <c r="F112" s="349"/>
      <c r="G112" s="349"/>
      <c r="H112" s="349"/>
      <c r="I112" s="349"/>
      <c r="J112" s="435" t="str">
        <f t="shared" si="0"/>
        <v>No</v>
      </c>
      <c r="K112" s="122" t="str">
        <f t="shared" si="1"/>
        <v>No</v>
      </c>
      <c r="L112" s="78" t="str">
        <f t="shared" si="2"/>
        <v>No</v>
      </c>
    </row>
    <row r="113" spans="2:12" s="70" customFormat="1" ht="18.75" x14ac:dyDescent="0.35">
      <c r="B113" s="121" t="s">
        <v>378</v>
      </c>
      <c r="C113" s="122">
        <v>1536</v>
      </c>
      <c r="D113" s="347" t="s">
        <v>409</v>
      </c>
      <c r="E113" s="348" t="s">
        <v>441</v>
      </c>
      <c r="F113" s="349"/>
      <c r="G113" s="349"/>
      <c r="H113" s="349"/>
      <c r="I113" s="349"/>
      <c r="J113" s="435" t="str">
        <f t="shared" ref="J113:J170" si="3">IF(C113&lt;10,"Yes","No")</f>
        <v>No</v>
      </c>
      <c r="K113" s="122" t="str">
        <f t="shared" ref="K113:K170" si="4">IF(C113&gt;3900,"Yes","No")</f>
        <v>No</v>
      </c>
      <c r="L113" s="78" t="str">
        <f t="shared" ref="L113:L170" si="5">IF(C113&lt;1500,"Yes","No")</f>
        <v>No</v>
      </c>
    </row>
    <row r="114" spans="2:12" s="70" customFormat="1" ht="18.75" x14ac:dyDescent="0.35">
      <c r="B114" s="121" t="s">
        <v>124</v>
      </c>
      <c r="C114" s="122">
        <v>2631</v>
      </c>
      <c r="D114" s="347" t="s">
        <v>409</v>
      </c>
      <c r="E114" s="348" t="s">
        <v>441</v>
      </c>
      <c r="F114" s="349"/>
      <c r="G114" s="349"/>
      <c r="H114" s="349"/>
      <c r="I114" s="349"/>
      <c r="J114" s="435" t="str">
        <f t="shared" si="3"/>
        <v>No</v>
      </c>
      <c r="K114" s="122" t="str">
        <f t="shared" si="4"/>
        <v>No</v>
      </c>
      <c r="L114" s="78" t="str">
        <f t="shared" si="5"/>
        <v>No</v>
      </c>
    </row>
    <row r="115" spans="2:12" s="70" customFormat="1" ht="18.75" x14ac:dyDescent="0.35">
      <c r="B115" s="121" t="s">
        <v>390</v>
      </c>
      <c r="C115" s="122">
        <v>3190</v>
      </c>
      <c r="D115" s="347" t="s">
        <v>409</v>
      </c>
      <c r="E115" s="348" t="s">
        <v>194</v>
      </c>
      <c r="F115" s="349"/>
      <c r="G115" s="349"/>
      <c r="H115" s="349"/>
      <c r="I115" s="349"/>
      <c r="J115" s="435" t="str">
        <f t="shared" si="3"/>
        <v>No</v>
      </c>
      <c r="K115" s="122" t="str">
        <f t="shared" si="4"/>
        <v>No</v>
      </c>
      <c r="L115" s="78" t="str">
        <f t="shared" si="5"/>
        <v>No</v>
      </c>
    </row>
    <row r="116" spans="2:12" s="70" customFormat="1" ht="18.75" x14ac:dyDescent="0.35">
      <c r="B116" s="121" t="s">
        <v>125</v>
      </c>
      <c r="C116" s="122">
        <v>3143.12</v>
      </c>
      <c r="D116" s="347" t="s">
        <v>409</v>
      </c>
      <c r="E116" s="348" t="s">
        <v>194</v>
      </c>
      <c r="F116" s="349"/>
      <c r="G116" s="349"/>
      <c r="H116" s="349"/>
      <c r="I116" s="349"/>
      <c r="J116" s="435" t="str">
        <f t="shared" si="3"/>
        <v>No</v>
      </c>
      <c r="K116" s="122" t="str">
        <f t="shared" si="4"/>
        <v>No</v>
      </c>
      <c r="L116" s="78" t="str">
        <f t="shared" si="5"/>
        <v>No</v>
      </c>
    </row>
    <row r="117" spans="2:12" s="70" customFormat="1" ht="18.75" x14ac:dyDescent="0.35">
      <c r="B117" s="121" t="s">
        <v>126</v>
      </c>
      <c r="C117" s="122">
        <v>2526</v>
      </c>
      <c r="D117" s="347" t="s">
        <v>409</v>
      </c>
      <c r="E117" s="348" t="s">
        <v>441</v>
      </c>
      <c r="F117" s="349"/>
      <c r="G117" s="349"/>
      <c r="H117" s="349"/>
      <c r="I117" s="349"/>
      <c r="J117" s="435" t="str">
        <f t="shared" si="3"/>
        <v>No</v>
      </c>
      <c r="K117" s="122" t="str">
        <f t="shared" si="4"/>
        <v>No</v>
      </c>
      <c r="L117" s="78" t="str">
        <f t="shared" si="5"/>
        <v>No</v>
      </c>
    </row>
    <row r="118" spans="2:12" s="70" customFormat="1" ht="18.75" x14ac:dyDescent="0.35">
      <c r="B118" s="121" t="s">
        <v>127</v>
      </c>
      <c r="C118" s="122">
        <v>3084.65</v>
      </c>
      <c r="D118" s="347" t="s">
        <v>409</v>
      </c>
      <c r="E118" s="348" t="s">
        <v>194</v>
      </c>
      <c r="F118" s="349"/>
      <c r="G118" s="349"/>
      <c r="H118" s="349"/>
      <c r="I118" s="349"/>
      <c r="J118" s="435" t="str">
        <f t="shared" si="3"/>
        <v>No</v>
      </c>
      <c r="K118" s="122" t="str">
        <f t="shared" si="4"/>
        <v>No</v>
      </c>
      <c r="L118" s="78" t="str">
        <f t="shared" si="5"/>
        <v>No</v>
      </c>
    </row>
    <row r="119" spans="2:12" s="70" customFormat="1" ht="18.75" x14ac:dyDescent="0.35">
      <c r="B119" s="121" t="s">
        <v>128</v>
      </c>
      <c r="C119" s="122">
        <v>2729</v>
      </c>
      <c r="D119" s="347" t="s">
        <v>409</v>
      </c>
      <c r="E119" s="348" t="s">
        <v>441</v>
      </c>
      <c r="F119" s="349"/>
      <c r="G119" s="349"/>
      <c r="H119" s="349"/>
      <c r="I119" s="349"/>
      <c r="J119" s="435" t="str">
        <f t="shared" si="3"/>
        <v>No</v>
      </c>
      <c r="K119" s="122" t="str">
        <f t="shared" si="4"/>
        <v>No</v>
      </c>
      <c r="L119" s="78" t="str">
        <f t="shared" si="5"/>
        <v>No</v>
      </c>
    </row>
    <row r="120" spans="2:12" s="70" customFormat="1" ht="18.75" x14ac:dyDescent="0.35">
      <c r="B120" s="121" t="s">
        <v>129</v>
      </c>
      <c r="C120" s="122">
        <v>2280.25</v>
      </c>
      <c r="D120" s="347" t="s">
        <v>409</v>
      </c>
      <c r="E120" s="348" t="s">
        <v>194</v>
      </c>
      <c r="F120" s="349"/>
      <c r="G120" s="349"/>
      <c r="H120" s="349"/>
      <c r="I120" s="349"/>
      <c r="J120" s="435" t="str">
        <f t="shared" si="3"/>
        <v>No</v>
      </c>
      <c r="K120" s="122" t="str">
        <f t="shared" si="4"/>
        <v>No</v>
      </c>
      <c r="L120" s="78" t="str">
        <f t="shared" si="5"/>
        <v>No</v>
      </c>
    </row>
    <row r="121" spans="2:12" s="70" customFormat="1" ht="18.75" x14ac:dyDescent="0.35">
      <c r="B121" s="121" t="s">
        <v>130</v>
      </c>
      <c r="C121" s="122">
        <v>2440</v>
      </c>
      <c r="D121" s="347" t="s">
        <v>409</v>
      </c>
      <c r="E121" s="348" t="s">
        <v>441</v>
      </c>
      <c r="F121" s="349"/>
      <c r="G121" s="349"/>
      <c r="H121" s="349"/>
      <c r="I121" s="349"/>
      <c r="J121" s="435" t="str">
        <f t="shared" si="3"/>
        <v>No</v>
      </c>
      <c r="K121" s="122" t="str">
        <f t="shared" si="4"/>
        <v>No</v>
      </c>
      <c r="L121" s="78" t="str">
        <f t="shared" si="5"/>
        <v>No</v>
      </c>
    </row>
    <row r="122" spans="2:12" s="70" customFormat="1" ht="18.75" x14ac:dyDescent="0.35">
      <c r="B122" s="121" t="s">
        <v>377</v>
      </c>
      <c r="C122" s="122">
        <v>1508</v>
      </c>
      <c r="D122" s="347" t="s">
        <v>409</v>
      </c>
      <c r="E122" s="348" t="s">
        <v>441</v>
      </c>
      <c r="F122" s="349"/>
      <c r="G122" s="349"/>
      <c r="H122" s="349"/>
      <c r="I122" s="349"/>
      <c r="J122" s="435" t="str">
        <f t="shared" si="3"/>
        <v>No</v>
      </c>
      <c r="K122" s="122" t="str">
        <f t="shared" si="4"/>
        <v>No</v>
      </c>
      <c r="L122" s="78" t="str">
        <f t="shared" si="5"/>
        <v>No</v>
      </c>
    </row>
    <row r="123" spans="2:12" s="70" customFormat="1" ht="18.75" x14ac:dyDescent="0.35">
      <c r="B123" s="121" t="s">
        <v>131</v>
      </c>
      <c r="C123" s="122">
        <v>2138</v>
      </c>
      <c r="D123" s="347" t="s">
        <v>409</v>
      </c>
      <c r="E123" s="348" t="s">
        <v>441</v>
      </c>
      <c r="F123" s="349"/>
      <c r="G123" s="349"/>
      <c r="H123" s="349"/>
      <c r="I123" s="349"/>
      <c r="J123" s="435" t="str">
        <f t="shared" si="3"/>
        <v>No</v>
      </c>
      <c r="K123" s="122" t="str">
        <f t="shared" si="4"/>
        <v>No</v>
      </c>
      <c r="L123" s="78" t="str">
        <f t="shared" si="5"/>
        <v>No</v>
      </c>
    </row>
    <row r="124" spans="2:12" s="70" customFormat="1" ht="18.75" x14ac:dyDescent="0.35">
      <c r="B124" s="121" t="s">
        <v>389</v>
      </c>
      <c r="C124" s="122">
        <v>3607</v>
      </c>
      <c r="D124" s="347" t="s">
        <v>409</v>
      </c>
      <c r="E124" s="348" t="s">
        <v>194</v>
      </c>
      <c r="F124" s="349"/>
      <c r="G124" s="349"/>
      <c r="H124" s="349"/>
      <c r="I124" s="349"/>
      <c r="J124" s="435" t="str">
        <f t="shared" si="3"/>
        <v>No</v>
      </c>
      <c r="K124" s="122" t="str">
        <f t="shared" si="4"/>
        <v>No</v>
      </c>
      <c r="L124" s="78" t="str">
        <f t="shared" si="5"/>
        <v>No</v>
      </c>
    </row>
    <row r="125" spans="2:12" s="70" customFormat="1" ht="18.75" x14ac:dyDescent="0.35">
      <c r="B125" s="121" t="s">
        <v>132</v>
      </c>
      <c r="C125" s="122">
        <v>2070</v>
      </c>
      <c r="D125" s="347" t="s">
        <v>409</v>
      </c>
      <c r="E125" s="348" t="s">
        <v>194</v>
      </c>
      <c r="F125" s="349"/>
      <c r="G125" s="349"/>
      <c r="H125" s="349"/>
      <c r="I125" s="349"/>
      <c r="J125" s="435" t="str">
        <f t="shared" si="3"/>
        <v>No</v>
      </c>
      <c r="K125" s="122" t="str">
        <f t="shared" si="4"/>
        <v>No</v>
      </c>
      <c r="L125" s="78" t="str">
        <f t="shared" si="5"/>
        <v>No</v>
      </c>
    </row>
    <row r="126" spans="2:12" s="70" customFormat="1" ht="18.75" x14ac:dyDescent="0.35">
      <c r="B126" s="121" t="s">
        <v>133</v>
      </c>
      <c r="C126" s="122">
        <v>1805</v>
      </c>
      <c r="D126" s="347" t="s">
        <v>409</v>
      </c>
      <c r="E126" s="348" t="s">
        <v>441</v>
      </c>
      <c r="F126" s="349"/>
      <c r="G126" s="349"/>
      <c r="H126" s="349"/>
      <c r="I126" s="349"/>
      <c r="J126" s="435" t="str">
        <f t="shared" si="3"/>
        <v>No</v>
      </c>
      <c r="K126" s="122" t="str">
        <f t="shared" si="4"/>
        <v>No</v>
      </c>
      <c r="L126" s="78" t="str">
        <f t="shared" si="5"/>
        <v>No</v>
      </c>
    </row>
    <row r="127" spans="2:12" s="70" customFormat="1" ht="18.75" x14ac:dyDescent="0.35">
      <c r="B127" s="121" t="s">
        <v>134</v>
      </c>
      <c r="C127" s="582">
        <v>2238</v>
      </c>
      <c r="D127" s="347" t="s">
        <v>409</v>
      </c>
      <c r="E127" s="348" t="s">
        <v>441</v>
      </c>
      <c r="F127" s="349"/>
      <c r="G127" s="349"/>
      <c r="H127" s="349"/>
      <c r="I127" s="349"/>
      <c r="J127" s="435" t="str">
        <f t="shared" si="3"/>
        <v>No</v>
      </c>
      <c r="K127" s="122" t="str">
        <f t="shared" si="4"/>
        <v>No</v>
      </c>
      <c r="L127" s="78" t="str">
        <f t="shared" si="5"/>
        <v>No</v>
      </c>
    </row>
    <row r="128" spans="2:12" s="70" customFormat="1" ht="18.75" x14ac:dyDescent="0.35">
      <c r="B128" s="121" t="s">
        <v>386</v>
      </c>
      <c r="C128" s="122">
        <v>1888</v>
      </c>
      <c r="D128" s="347" t="s">
        <v>409</v>
      </c>
      <c r="E128" s="348" t="s">
        <v>441</v>
      </c>
      <c r="F128" s="349"/>
      <c r="G128" s="349"/>
      <c r="H128" s="349"/>
      <c r="I128" s="349"/>
      <c r="J128" s="435" t="str">
        <f t="shared" si="3"/>
        <v>No</v>
      </c>
      <c r="K128" s="122" t="str">
        <f t="shared" si="4"/>
        <v>No</v>
      </c>
      <c r="L128" s="78" t="str">
        <f t="shared" si="5"/>
        <v>No</v>
      </c>
    </row>
    <row r="129" spans="2:12" s="70" customFormat="1" ht="18.75" x14ac:dyDescent="0.35">
      <c r="B129" s="121" t="s">
        <v>457</v>
      </c>
      <c r="C129" s="122">
        <v>1411</v>
      </c>
      <c r="D129" s="347" t="s">
        <v>409</v>
      </c>
      <c r="E129" s="348" t="s">
        <v>441</v>
      </c>
      <c r="F129" s="349"/>
      <c r="G129" s="349"/>
      <c r="H129" s="349"/>
      <c r="I129" s="349"/>
      <c r="J129" s="435" t="str">
        <f t="shared" si="3"/>
        <v>No</v>
      </c>
      <c r="K129" s="122" t="str">
        <f t="shared" si="4"/>
        <v>No</v>
      </c>
      <c r="L129" s="78" t="str">
        <f t="shared" si="5"/>
        <v>Yes</v>
      </c>
    </row>
    <row r="130" spans="2:12" s="70" customFormat="1" ht="18.75" x14ac:dyDescent="0.35">
      <c r="B130" s="121" t="s">
        <v>400</v>
      </c>
      <c r="C130" s="122">
        <v>601</v>
      </c>
      <c r="D130" s="347" t="s">
        <v>409</v>
      </c>
      <c r="E130" s="348" t="s">
        <v>441</v>
      </c>
      <c r="F130" s="349"/>
      <c r="G130" s="349"/>
      <c r="H130" s="349"/>
      <c r="I130" s="349"/>
      <c r="J130" s="435" t="str">
        <f t="shared" si="3"/>
        <v>No</v>
      </c>
      <c r="K130" s="122" t="str">
        <f t="shared" si="4"/>
        <v>No</v>
      </c>
      <c r="L130" s="78" t="str">
        <f t="shared" si="5"/>
        <v>Yes</v>
      </c>
    </row>
    <row r="131" spans="2:12" s="70" customFormat="1" ht="18.75" x14ac:dyDescent="0.35">
      <c r="B131" s="121" t="s">
        <v>388</v>
      </c>
      <c r="C131" s="122">
        <v>2141</v>
      </c>
      <c r="D131" s="347" t="s">
        <v>409</v>
      </c>
      <c r="E131" s="348" t="s">
        <v>194</v>
      </c>
      <c r="F131" s="349"/>
      <c r="G131" s="349"/>
      <c r="H131" s="349"/>
      <c r="I131" s="349"/>
      <c r="J131" s="435" t="str">
        <f t="shared" si="3"/>
        <v>No</v>
      </c>
      <c r="K131" s="122" t="str">
        <f t="shared" si="4"/>
        <v>No</v>
      </c>
      <c r="L131" s="78" t="str">
        <f t="shared" si="5"/>
        <v>No</v>
      </c>
    </row>
    <row r="132" spans="2:12" s="70" customFormat="1" ht="18.75" x14ac:dyDescent="0.35">
      <c r="B132" s="121" t="s">
        <v>398</v>
      </c>
      <c r="C132" s="122">
        <v>676</v>
      </c>
      <c r="D132" s="347" t="s">
        <v>409</v>
      </c>
      <c r="E132" s="348" t="s">
        <v>194</v>
      </c>
      <c r="F132" s="349"/>
      <c r="G132" s="349"/>
      <c r="H132" s="349"/>
      <c r="I132" s="349"/>
      <c r="J132" s="435" t="str">
        <f t="shared" si="3"/>
        <v>No</v>
      </c>
      <c r="K132" s="122" t="str">
        <f t="shared" si="4"/>
        <v>No</v>
      </c>
      <c r="L132" s="78" t="str">
        <f t="shared" si="5"/>
        <v>Yes</v>
      </c>
    </row>
    <row r="133" spans="2:12" s="70" customFormat="1" ht="18.75" x14ac:dyDescent="0.35">
      <c r="B133" s="121" t="s">
        <v>385</v>
      </c>
      <c r="C133" s="122">
        <v>1765</v>
      </c>
      <c r="D133" s="347" t="s">
        <v>409</v>
      </c>
      <c r="E133" s="348" t="s">
        <v>441</v>
      </c>
      <c r="F133" s="349"/>
      <c r="G133" s="349"/>
      <c r="H133" s="349"/>
      <c r="I133" s="349"/>
      <c r="J133" s="435" t="str">
        <f t="shared" si="3"/>
        <v>No</v>
      </c>
      <c r="K133" s="122" t="str">
        <f t="shared" si="4"/>
        <v>No</v>
      </c>
      <c r="L133" s="78" t="str">
        <f t="shared" si="5"/>
        <v>No</v>
      </c>
    </row>
    <row r="134" spans="2:12" s="70" customFormat="1" ht="18.75" x14ac:dyDescent="0.35">
      <c r="B134" s="121" t="s">
        <v>401</v>
      </c>
      <c r="C134" s="122">
        <v>466</v>
      </c>
      <c r="D134" s="347" t="s">
        <v>409</v>
      </c>
      <c r="E134" s="348" t="s">
        <v>194</v>
      </c>
      <c r="F134" s="349"/>
      <c r="G134" s="349"/>
      <c r="H134" s="349"/>
      <c r="I134" s="349"/>
      <c r="J134" s="435" t="str">
        <f t="shared" si="3"/>
        <v>No</v>
      </c>
      <c r="K134" s="122" t="str">
        <f t="shared" si="4"/>
        <v>No</v>
      </c>
      <c r="L134" s="78" t="str">
        <f t="shared" si="5"/>
        <v>Yes</v>
      </c>
    </row>
    <row r="135" spans="2:12" s="70" customFormat="1" ht="18.75" x14ac:dyDescent="0.35">
      <c r="B135" s="121" t="s">
        <v>397</v>
      </c>
      <c r="C135" s="122">
        <v>733</v>
      </c>
      <c r="D135" s="347" t="s">
        <v>409</v>
      </c>
      <c r="E135" s="348" t="s">
        <v>194</v>
      </c>
      <c r="F135" s="349"/>
      <c r="G135" s="349"/>
      <c r="H135" s="349"/>
      <c r="I135" s="349"/>
      <c r="J135" s="435" t="str">
        <f t="shared" si="3"/>
        <v>No</v>
      </c>
      <c r="K135" s="122" t="str">
        <f t="shared" si="4"/>
        <v>No</v>
      </c>
      <c r="L135" s="78" t="str">
        <f t="shared" si="5"/>
        <v>Yes</v>
      </c>
    </row>
    <row r="136" spans="2:12" s="70" customFormat="1" ht="18.75" x14ac:dyDescent="0.35">
      <c r="B136" s="121" t="s">
        <v>136</v>
      </c>
      <c r="C136" s="122">
        <v>8077</v>
      </c>
      <c r="D136" s="347" t="s">
        <v>409</v>
      </c>
      <c r="E136" s="268" t="s">
        <v>194</v>
      </c>
      <c r="F136" s="269"/>
      <c r="G136" s="269"/>
      <c r="H136" s="269"/>
      <c r="I136" s="269"/>
      <c r="J136" s="435" t="str">
        <f t="shared" si="3"/>
        <v>No</v>
      </c>
      <c r="K136" s="122" t="str">
        <f t="shared" si="4"/>
        <v>Yes</v>
      </c>
      <c r="L136" s="78" t="str">
        <f t="shared" si="5"/>
        <v>No</v>
      </c>
    </row>
    <row r="137" spans="2:12" s="70" customFormat="1" ht="18.75" x14ac:dyDescent="0.35">
      <c r="B137" s="121" t="s">
        <v>137</v>
      </c>
      <c r="C137" s="122">
        <v>4657</v>
      </c>
      <c r="D137" s="347" t="s">
        <v>409</v>
      </c>
      <c r="E137" s="348" t="s">
        <v>441</v>
      </c>
      <c r="F137" s="349"/>
      <c r="G137" s="349"/>
      <c r="H137" s="349"/>
      <c r="I137" s="349"/>
      <c r="J137" s="435" t="str">
        <f t="shared" si="3"/>
        <v>No</v>
      </c>
      <c r="K137" s="122" t="str">
        <f t="shared" si="4"/>
        <v>Yes</v>
      </c>
      <c r="L137" s="78" t="str">
        <f t="shared" si="5"/>
        <v>No</v>
      </c>
    </row>
    <row r="138" spans="2:12" s="70" customFormat="1" ht="18.75" x14ac:dyDescent="0.35">
      <c r="B138" s="121" t="s">
        <v>138</v>
      </c>
      <c r="C138" s="122">
        <v>14560</v>
      </c>
      <c r="D138" s="347" t="s">
        <v>409</v>
      </c>
      <c r="E138" s="348" t="s">
        <v>194</v>
      </c>
      <c r="F138" s="349"/>
      <c r="G138" s="349"/>
      <c r="H138" s="349"/>
      <c r="I138" s="349"/>
      <c r="J138" s="435" t="str">
        <f t="shared" si="3"/>
        <v>No</v>
      </c>
      <c r="K138" s="122" t="str">
        <f t="shared" si="4"/>
        <v>Yes</v>
      </c>
      <c r="L138" s="78" t="str">
        <f t="shared" si="5"/>
        <v>No</v>
      </c>
    </row>
    <row r="139" spans="2:12" s="70" customFormat="1" ht="18.75" x14ac:dyDescent="0.35">
      <c r="B139" s="121" t="s">
        <v>139</v>
      </c>
      <c r="C139" s="122">
        <v>13396</v>
      </c>
      <c r="D139" s="347" t="s">
        <v>409</v>
      </c>
      <c r="E139" s="348" t="s">
        <v>194</v>
      </c>
      <c r="F139" s="349"/>
      <c r="G139" s="349"/>
      <c r="H139" s="349"/>
      <c r="I139" s="349"/>
      <c r="J139" s="435" t="str">
        <f t="shared" si="3"/>
        <v>No</v>
      </c>
      <c r="K139" s="122" t="str">
        <f t="shared" si="4"/>
        <v>Yes</v>
      </c>
      <c r="L139" s="78" t="str">
        <f t="shared" si="5"/>
        <v>No</v>
      </c>
    </row>
    <row r="140" spans="2:12" s="70" customFormat="1" ht="18.75" x14ac:dyDescent="0.35">
      <c r="B140" s="121" t="s">
        <v>399</v>
      </c>
      <c r="C140" s="122">
        <v>631</v>
      </c>
      <c r="D140" s="347" t="s">
        <v>409</v>
      </c>
      <c r="E140" s="348" t="s">
        <v>441</v>
      </c>
      <c r="F140" s="349"/>
      <c r="G140" s="349"/>
      <c r="H140" s="349"/>
      <c r="I140" s="349"/>
      <c r="J140" s="435" t="str">
        <f t="shared" si="3"/>
        <v>No</v>
      </c>
      <c r="K140" s="122" t="str">
        <f t="shared" si="4"/>
        <v>No</v>
      </c>
      <c r="L140" s="78" t="str">
        <f t="shared" si="5"/>
        <v>Yes</v>
      </c>
    </row>
    <row r="141" spans="2:12" s="70" customFormat="1" ht="18.75" x14ac:dyDescent="0.35">
      <c r="B141" s="121" t="s">
        <v>405</v>
      </c>
      <c r="C141" s="122">
        <v>2</v>
      </c>
      <c r="D141" s="347" t="s">
        <v>409</v>
      </c>
      <c r="E141" s="348" t="s">
        <v>446</v>
      </c>
      <c r="F141" s="349"/>
      <c r="G141" s="349"/>
      <c r="H141" s="349"/>
      <c r="I141" s="349"/>
      <c r="J141" s="435" t="str">
        <f t="shared" si="3"/>
        <v>Yes</v>
      </c>
      <c r="K141" s="122" t="str">
        <f t="shared" si="4"/>
        <v>No</v>
      </c>
      <c r="L141" s="78" t="str">
        <f t="shared" si="5"/>
        <v>Yes</v>
      </c>
    </row>
    <row r="142" spans="2:12" s="70" customFormat="1" ht="18.75" x14ac:dyDescent="0.35">
      <c r="B142" s="121" t="s">
        <v>198</v>
      </c>
      <c r="C142" s="582">
        <v>3</v>
      </c>
      <c r="D142" s="347" t="s">
        <v>409</v>
      </c>
      <c r="E142" s="348" t="s">
        <v>441</v>
      </c>
      <c r="F142" s="349"/>
      <c r="G142" s="349"/>
      <c r="H142" s="349"/>
      <c r="I142" s="349"/>
      <c r="J142" s="435" t="str">
        <f t="shared" si="3"/>
        <v>Yes</v>
      </c>
      <c r="K142" s="122" t="str">
        <f t="shared" si="4"/>
        <v>No</v>
      </c>
      <c r="L142" s="78" t="str">
        <f t="shared" si="5"/>
        <v>Yes</v>
      </c>
    </row>
    <row r="143" spans="2:12" s="70" customFormat="1" ht="18.75" x14ac:dyDescent="0.35">
      <c r="B143" s="121" t="s">
        <v>200</v>
      </c>
      <c r="C143" s="582">
        <v>5</v>
      </c>
      <c r="D143" s="347" t="s">
        <v>409</v>
      </c>
      <c r="E143" s="348" t="s">
        <v>441</v>
      </c>
      <c r="F143" s="349"/>
      <c r="G143" s="349"/>
      <c r="H143" s="349"/>
      <c r="I143" s="349"/>
      <c r="J143" s="435" t="str">
        <f t="shared" si="3"/>
        <v>Yes</v>
      </c>
      <c r="K143" s="122" t="str">
        <f t="shared" si="4"/>
        <v>No</v>
      </c>
      <c r="L143" s="78" t="str">
        <f t="shared" si="5"/>
        <v>Yes</v>
      </c>
    </row>
    <row r="144" spans="2:12" s="70" customFormat="1" ht="18.75" x14ac:dyDescent="0.35">
      <c r="B144" s="346" t="s">
        <v>406</v>
      </c>
      <c r="C144" s="122">
        <v>0</v>
      </c>
      <c r="D144" s="347" t="s">
        <v>409</v>
      </c>
      <c r="E144" s="348" t="s">
        <v>441</v>
      </c>
      <c r="F144" s="349"/>
      <c r="G144" s="349"/>
      <c r="H144" s="349"/>
      <c r="I144" s="349"/>
      <c r="J144" s="435" t="str">
        <f t="shared" si="3"/>
        <v>Yes</v>
      </c>
      <c r="K144" s="122" t="str">
        <f t="shared" si="4"/>
        <v>No</v>
      </c>
      <c r="L144" s="78" t="str">
        <f t="shared" si="5"/>
        <v>Yes</v>
      </c>
    </row>
    <row r="145" spans="2:12" s="70" customFormat="1" ht="18.75" x14ac:dyDescent="0.35">
      <c r="B145" s="346" t="s">
        <v>407</v>
      </c>
      <c r="C145" s="122">
        <v>1</v>
      </c>
      <c r="D145" s="347" t="s">
        <v>409</v>
      </c>
      <c r="E145" s="348" t="s">
        <v>441</v>
      </c>
      <c r="F145" s="349"/>
      <c r="G145" s="349"/>
      <c r="H145" s="349"/>
      <c r="I145" s="349"/>
      <c r="J145" s="435" t="str">
        <f t="shared" si="3"/>
        <v>Yes</v>
      </c>
      <c r="K145" s="122" t="str">
        <f t="shared" si="4"/>
        <v>No</v>
      </c>
      <c r="L145" s="78" t="str">
        <f t="shared" si="5"/>
        <v>Yes</v>
      </c>
    </row>
    <row r="146" spans="2:12" s="70" customFormat="1" ht="18.75" x14ac:dyDescent="0.35">
      <c r="B146" s="395" t="s">
        <v>447</v>
      </c>
      <c r="C146" s="122">
        <v>1</v>
      </c>
      <c r="D146" s="347" t="s">
        <v>409</v>
      </c>
      <c r="E146" s="348" t="s">
        <v>446</v>
      </c>
      <c r="F146" s="349"/>
      <c r="G146" s="349"/>
      <c r="H146" s="349"/>
      <c r="I146" s="432"/>
      <c r="J146" s="435" t="str">
        <f t="shared" si="3"/>
        <v>Yes</v>
      </c>
      <c r="K146" s="122" t="str">
        <f t="shared" si="4"/>
        <v>No</v>
      </c>
      <c r="L146" s="78" t="str">
        <f t="shared" si="5"/>
        <v>Yes</v>
      </c>
    </row>
    <row r="147" spans="2:12" s="70" customFormat="1" ht="18.75" x14ac:dyDescent="0.35">
      <c r="B147" s="395" t="s">
        <v>448</v>
      </c>
      <c r="C147" s="122">
        <v>1</v>
      </c>
      <c r="D147" s="347" t="s">
        <v>409</v>
      </c>
      <c r="E147" s="348" t="s">
        <v>446</v>
      </c>
      <c r="F147" s="349"/>
      <c r="G147" s="349"/>
      <c r="H147" s="349"/>
      <c r="I147" s="349"/>
      <c r="J147" s="435" t="str">
        <f t="shared" si="3"/>
        <v>Yes</v>
      </c>
      <c r="K147" s="122" t="str">
        <f t="shared" si="4"/>
        <v>No</v>
      </c>
      <c r="L147" s="78" t="str">
        <f t="shared" si="5"/>
        <v>Yes</v>
      </c>
    </row>
    <row r="148" spans="2:12" s="70" customFormat="1" ht="18.75" x14ac:dyDescent="0.35">
      <c r="B148" s="121" t="s">
        <v>402</v>
      </c>
      <c r="C148" s="122">
        <v>1</v>
      </c>
      <c r="D148" s="347" t="s">
        <v>409</v>
      </c>
      <c r="E148" s="348" t="s">
        <v>194</v>
      </c>
      <c r="F148" s="349"/>
      <c r="G148" s="349"/>
      <c r="H148" s="349"/>
      <c r="I148" s="432" t="s">
        <v>454</v>
      </c>
      <c r="J148" s="435" t="str">
        <f t="shared" si="3"/>
        <v>Yes</v>
      </c>
      <c r="K148" s="122" t="str">
        <f t="shared" si="4"/>
        <v>No</v>
      </c>
      <c r="L148" s="78" t="str">
        <f t="shared" si="5"/>
        <v>Yes</v>
      </c>
    </row>
    <row r="149" spans="2:12" s="70" customFormat="1" ht="18.75" x14ac:dyDescent="0.35">
      <c r="B149" s="121" t="s">
        <v>449</v>
      </c>
      <c r="C149" s="122">
        <v>1</v>
      </c>
      <c r="D149" s="347" t="s">
        <v>409</v>
      </c>
      <c r="E149" s="348" t="s">
        <v>446</v>
      </c>
      <c r="F149" s="349"/>
      <c r="G149" s="349"/>
      <c r="H149" s="349"/>
      <c r="I149" s="349"/>
      <c r="J149" s="435" t="str">
        <f t="shared" si="3"/>
        <v>Yes</v>
      </c>
      <c r="K149" s="122" t="str">
        <f t="shared" si="4"/>
        <v>No</v>
      </c>
      <c r="L149" s="78" t="str">
        <f t="shared" si="5"/>
        <v>Yes</v>
      </c>
    </row>
    <row r="150" spans="2:12" s="70" customFormat="1" ht="18.75" x14ac:dyDescent="0.35">
      <c r="B150" s="121" t="s">
        <v>450</v>
      </c>
      <c r="C150" s="122">
        <v>1</v>
      </c>
      <c r="D150" s="347" t="s">
        <v>409</v>
      </c>
      <c r="E150" s="348" t="s">
        <v>446</v>
      </c>
      <c r="F150" s="349"/>
      <c r="G150" s="349"/>
      <c r="H150" s="349"/>
      <c r="I150" s="349"/>
      <c r="J150" s="435" t="str">
        <f t="shared" si="3"/>
        <v>Yes</v>
      </c>
      <c r="K150" s="122" t="str">
        <f t="shared" si="4"/>
        <v>No</v>
      </c>
      <c r="L150" s="78" t="str">
        <f t="shared" si="5"/>
        <v>Yes</v>
      </c>
    </row>
    <row r="151" spans="2:12" s="70" customFormat="1" ht="18.75" x14ac:dyDescent="0.35">
      <c r="B151" s="121" t="s">
        <v>451</v>
      </c>
      <c r="C151" s="122">
        <v>1</v>
      </c>
      <c r="D151" s="347" t="s">
        <v>409</v>
      </c>
      <c r="E151" s="348" t="s">
        <v>446</v>
      </c>
      <c r="F151" s="349"/>
      <c r="G151" s="349"/>
      <c r="H151" s="349"/>
      <c r="I151" s="349"/>
      <c r="J151" s="435" t="str">
        <f t="shared" si="3"/>
        <v>Yes</v>
      </c>
      <c r="K151" s="122" t="str">
        <f t="shared" si="4"/>
        <v>No</v>
      </c>
      <c r="L151" s="78" t="str">
        <f t="shared" si="5"/>
        <v>Yes</v>
      </c>
    </row>
    <row r="152" spans="2:12" s="70" customFormat="1" ht="18.75" x14ac:dyDescent="0.35">
      <c r="B152" s="121" t="s">
        <v>404</v>
      </c>
      <c r="C152" s="122">
        <v>1</v>
      </c>
      <c r="D152" s="347" t="s">
        <v>409</v>
      </c>
      <c r="E152" s="348" t="s">
        <v>194</v>
      </c>
      <c r="F152" s="349"/>
      <c r="G152" s="349"/>
      <c r="H152" s="349"/>
      <c r="I152" s="432" t="s">
        <v>454</v>
      </c>
      <c r="J152" s="435" t="str">
        <f t="shared" si="3"/>
        <v>Yes</v>
      </c>
      <c r="K152" s="122" t="str">
        <f t="shared" si="4"/>
        <v>No</v>
      </c>
      <c r="L152" s="78" t="str">
        <f t="shared" si="5"/>
        <v>Yes</v>
      </c>
    </row>
    <row r="153" spans="2:12" s="70" customFormat="1" ht="18.75" x14ac:dyDescent="0.35">
      <c r="B153" s="121" t="s">
        <v>403</v>
      </c>
      <c r="C153" s="122">
        <v>1</v>
      </c>
      <c r="D153" s="347" t="s">
        <v>409</v>
      </c>
      <c r="E153" s="348" t="s">
        <v>446</v>
      </c>
      <c r="F153" s="349"/>
      <c r="G153" s="349"/>
      <c r="H153" s="349"/>
      <c r="I153" s="349"/>
      <c r="J153" s="435" t="str">
        <f t="shared" si="3"/>
        <v>Yes</v>
      </c>
      <c r="K153" s="122" t="str">
        <f t="shared" si="4"/>
        <v>No</v>
      </c>
      <c r="L153" s="78" t="str">
        <f t="shared" si="5"/>
        <v>Yes</v>
      </c>
    </row>
    <row r="154" spans="2:12" s="70" customFormat="1" ht="18.75" x14ac:dyDescent="0.35">
      <c r="B154" s="121" t="s">
        <v>452</v>
      </c>
      <c r="C154" s="122">
        <v>1</v>
      </c>
      <c r="D154" s="347" t="s">
        <v>409</v>
      </c>
      <c r="E154" s="348" t="s">
        <v>446</v>
      </c>
      <c r="F154" s="349"/>
      <c r="G154" s="349"/>
      <c r="H154" s="349"/>
      <c r="I154" s="349"/>
      <c r="J154" s="435" t="str">
        <f t="shared" si="3"/>
        <v>Yes</v>
      </c>
      <c r="K154" s="122" t="str">
        <f t="shared" si="4"/>
        <v>No</v>
      </c>
      <c r="L154" s="78" t="str">
        <f t="shared" si="5"/>
        <v>Yes</v>
      </c>
    </row>
    <row r="155" spans="2:12" s="70" customFormat="1" ht="18.75" x14ac:dyDescent="0.35">
      <c r="B155" s="121" t="s">
        <v>453</v>
      </c>
      <c r="C155" s="122">
        <v>2</v>
      </c>
      <c r="D155" s="347" t="s">
        <v>409</v>
      </c>
      <c r="E155" s="348" t="s">
        <v>446</v>
      </c>
      <c r="F155" s="349"/>
      <c r="G155" s="349"/>
      <c r="H155" s="349"/>
      <c r="I155" s="349"/>
      <c r="J155" s="435" t="str">
        <f t="shared" si="3"/>
        <v>Yes</v>
      </c>
      <c r="K155" s="122" t="str">
        <f t="shared" si="4"/>
        <v>No</v>
      </c>
      <c r="L155" s="78" t="str">
        <f t="shared" si="5"/>
        <v>Yes</v>
      </c>
    </row>
    <row r="156" spans="2:12" s="70" customFormat="1" ht="18.75" x14ac:dyDescent="0.35">
      <c r="B156" s="121" t="s">
        <v>140</v>
      </c>
      <c r="C156" s="122">
        <v>1640</v>
      </c>
      <c r="D156" s="347" t="s">
        <v>409</v>
      </c>
      <c r="E156" s="348" t="s">
        <v>194</v>
      </c>
      <c r="F156" s="349"/>
      <c r="G156" s="349"/>
      <c r="H156" s="349"/>
      <c r="I156" s="349"/>
      <c r="J156" s="435" t="str">
        <f t="shared" si="3"/>
        <v>No</v>
      </c>
      <c r="K156" s="122" t="str">
        <f t="shared" si="4"/>
        <v>No</v>
      </c>
      <c r="L156" s="78" t="str">
        <f t="shared" si="5"/>
        <v>No</v>
      </c>
    </row>
    <row r="157" spans="2:12" s="70" customFormat="1" ht="18.75" x14ac:dyDescent="0.35">
      <c r="B157" s="121" t="s">
        <v>141</v>
      </c>
      <c r="C157" s="122">
        <v>6427.375</v>
      </c>
      <c r="D157" s="347" t="s">
        <v>409</v>
      </c>
      <c r="E157" s="348" t="s">
        <v>194</v>
      </c>
      <c r="F157" s="349"/>
      <c r="G157" s="349"/>
      <c r="H157" s="349"/>
      <c r="I157" s="349"/>
      <c r="J157" s="435" t="str">
        <f t="shared" si="3"/>
        <v>No</v>
      </c>
      <c r="K157" s="122" t="str">
        <f t="shared" si="4"/>
        <v>Yes</v>
      </c>
      <c r="L157" s="78" t="str">
        <f t="shared" si="5"/>
        <v>No</v>
      </c>
    </row>
    <row r="158" spans="2:12" s="70" customFormat="1" ht="18.75" x14ac:dyDescent="0.35">
      <c r="B158" s="121" t="s">
        <v>442</v>
      </c>
      <c r="C158" s="122">
        <v>1221</v>
      </c>
      <c r="D158" s="347" t="s">
        <v>409</v>
      </c>
      <c r="E158" s="348" t="s">
        <v>441</v>
      </c>
      <c r="F158" s="349"/>
      <c r="G158" s="349"/>
      <c r="H158" s="349"/>
      <c r="I158" s="349"/>
      <c r="J158" s="435" t="str">
        <f t="shared" si="3"/>
        <v>No</v>
      </c>
      <c r="K158" s="122" t="str">
        <f t="shared" si="4"/>
        <v>No</v>
      </c>
      <c r="L158" s="78" t="str">
        <f t="shared" si="5"/>
        <v>Yes</v>
      </c>
    </row>
    <row r="159" spans="2:12" s="70" customFormat="1" ht="18.75" x14ac:dyDescent="0.35">
      <c r="B159" s="121" t="s">
        <v>443</v>
      </c>
      <c r="C159" s="122">
        <v>1101</v>
      </c>
      <c r="D159" s="347" t="s">
        <v>409</v>
      </c>
      <c r="E159" s="348" t="s">
        <v>441</v>
      </c>
      <c r="F159" s="349"/>
      <c r="G159" s="349"/>
      <c r="H159" s="349"/>
      <c r="I159" s="349"/>
      <c r="J159" s="435" t="str">
        <f t="shared" si="3"/>
        <v>No</v>
      </c>
      <c r="K159" s="122" t="str">
        <f t="shared" si="4"/>
        <v>No</v>
      </c>
      <c r="L159" s="78" t="str">
        <f t="shared" si="5"/>
        <v>Yes</v>
      </c>
    </row>
    <row r="160" spans="2:12" s="70" customFormat="1" ht="18.75" x14ac:dyDescent="0.35">
      <c r="B160" s="121" t="s">
        <v>379</v>
      </c>
      <c r="C160" s="122">
        <v>1569</v>
      </c>
      <c r="D160" s="347" t="s">
        <v>409</v>
      </c>
      <c r="E160" s="348" t="s">
        <v>441</v>
      </c>
      <c r="F160" s="349"/>
      <c r="G160" s="349"/>
      <c r="H160" s="349"/>
      <c r="I160" s="349"/>
      <c r="J160" s="435" t="str">
        <f t="shared" si="3"/>
        <v>No</v>
      </c>
      <c r="K160" s="122" t="str">
        <f t="shared" si="4"/>
        <v>No</v>
      </c>
      <c r="L160" s="78" t="str">
        <f t="shared" si="5"/>
        <v>No</v>
      </c>
    </row>
    <row r="161" spans="2:12" s="70" customFormat="1" ht="18.75" x14ac:dyDescent="0.35">
      <c r="B161" s="121" t="s">
        <v>381</v>
      </c>
      <c r="C161" s="122">
        <v>1606</v>
      </c>
      <c r="D161" s="347" t="s">
        <v>409</v>
      </c>
      <c r="E161" s="348" t="s">
        <v>441</v>
      </c>
      <c r="F161" s="349"/>
      <c r="G161" s="349"/>
      <c r="H161" s="349"/>
      <c r="I161" s="349"/>
      <c r="J161" s="435" t="str">
        <f t="shared" si="3"/>
        <v>No</v>
      </c>
      <c r="K161" s="122" t="str">
        <f t="shared" si="4"/>
        <v>No</v>
      </c>
      <c r="L161" s="78" t="str">
        <f t="shared" si="5"/>
        <v>No</v>
      </c>
    </row>
    <row r="162" spans="2:12" s="70" customFormat="1" ht="18.75" x14ac:dyDescent="0.35">
      <c r="B162" s="121" t="s">
        <v>384</v>
      </c>
      <c r="C162" s="122">
        <v>1731</v>
      </c>
      <c r="D162" s="347" t="s">
        <v>409</v>
      </c>
      <c r="E162" s="348" t="s">
        <v>194</v>
      </c>
      <c r="F162" s="349"/>
      <c r="G162" s="349"/>
      <c r="H162" s="349"/>
      <c r="I162" s="349"/>
      <c r="J162" s="435" t="str">
        <f t="shared" si="3"/>
        <v>No</v>
      </c>
      <c r="K162" s="122" t="str">
        <f t="shared" si="4"/>
        <v>No</v>
      </c>
      <c r="L162" s="78" t="str">
        <f t="shared" si="5"/>
        <v>No</v>
      </c>
    </row>
    <row r="163" spans="2:12" s="70" customFormat="1" ht="18.75" x14ac:dyDescent="0.35">
      <c r="B163" s="121" t="s">
        <v>387</v>
      </c>
      <c r="C163" s="122">
        <v>1893</v>
      </c>
      <c r="D163" s="347" t="s">
        <v>409</v>
      </c>
      <c r="E163" s="348" t="s">
        <v>441</v>
      </c>
      <c r="F163" s="349"/>
      <c r="G163" s="349"/>
      <c r="H163" s="349"/>
      <c r="I163" s="349"/>
      <c r="J163" s="435" t="str">
        <f t="shared" si="3"/>
        <v>No</v>
      </c>
      <c r="K163" s="122" t="str">
        <f t="shared" si="4"/>
        <v>No</v>
      </c>
      <c r="L163" s="78" t="str">
        <f t="shared" si="5"/>
        <v>No</v>
      </c>
    </row>
    <row r="164" spans="2:12" s="70" customFormat="1" ht="18.75" x14ac:dyDescent="0.35">
      <c r="B164" s="121" t="s">
        <v>392</v>
      </c>
      <c r="C164" s="122">
        <v>2377</v>
      </c>
      <c r="D164" s="347" t="s">
        <v>409</v>
      </c>
      <c r="E164" s="348" t="s">
        <v>194</v>
      </c>
      <c r="F164" s="349"/>
      <c r="G164" s="349"/>
      <c r="H164" s="349"/>
      <c r="I164" s="349"/>
      <c r="J164" s="435" t="str">
        <f t="shared" si="3"/>
        <v>No</v>
      </c>
      <c r="K164" s="122" t="str">
        <f t="shared" si="4"/>
        <v>No</v>
      </c>
      <c r="L164" s="78" t="str">
        <f t="shared" si="5"/>
        <v>No</v>
      </c>
    </row>
    <row r="165" spans="2:12" s="70" customFormat="1" ht="18.75" x14ac:dyDescent="0.35">
      <c r="B165" s="346" t="s">
        <v>417</v>
      </c>
      <c r="C165" s="122">
        <v>0</v>
      </c>
      <c r="D165" s="347" t="s">
        <v>409</v>
      </c>
      <c r="E165" s="348" t="s">
        <v>194</v>
      </c>
      <c r="F165" s="349"/>
      <c r="G165" s="349"/>
      <c r="H165" s="349"/>
      <c r="I165" s="432" t="s">
        <v>454</v>
      </c>
      <c r="J165" s="435" t="str">
        <f t="shared" si="3"/>
        <v>Yes</v>
      </c>
      <c r="K165" s="122" t="str">
        <f t="shared" si="4"/>
        <v>No</v>
      </c>
      <c r="L165" s="78" t="str">
        <f t="shared" si="5"/>
        <v>Yes</v>
      </c>
    </row>
    <row r="166" spans="2:12" s="70" customFormat="1" ht="18.75" x14ac:dyDescent="0.35">
      <c r="B166" s="395" t="s">
        <v>444</v>
      </c>
      <c r="C166" s="122">
        <v>1</v>
      </c>
      <c r="D166" s="347" t="s">
        <v>409</v>
      </c>
      <c r="E166" s="348" t="s">
        <v>446</v>
      </c>
      <c r="F166" s="349"/>
      <c r="G166" s="349"/>
      <c r="H166" s="349"/>
      <c r="I166" s="349"/>
      <c r="J166" s="435" t="str">
        <f t="shared" si="3"/>
        <v>Yes</v>
      </c>
      <c r="K166" s="122" t="str">
        <f t="shared" si="4"/>
        <v>No</v>
      </c>
      <c r="L166" s="78" t="str">
        <f t="shared" si="5"/>
        <v>Yes</v>
      </c>
    </row>
    <row r="167" spans="2:12" s="70" customFormat="1" ht="18.75" x14ac:dyDescent="0.35">
      <c r="B167" s="395" t="s">
        <v>445</v>
      </c>
      <c r="C167" s="122">
        <v>1</v>
      </c>
      <c r="D167" s="347" t="s">
        <v>409</v>
      </c>
      <c r="E167" s="348" t="s">
        <v>446</v>
      </c>
      <c r="F167" s="349"/>
      <c r="G167" s="349"/>
      <c r="H167" s="349"/>
      <c r="I167" s="349"/>
      <c r="J167" s="435" t="str">
        <f t="shared" si="3"/>
        <v>Yes</v>
      </c>
      <c r="K167" s="122" t="str">
        <f t="shared" si="4"/>
        <v>No</v>
      </c>
      <c r="L167" s="78" t="str">
        <f t="shared" si="5"/>
        <v>Yes</v>
      </c>
    </row>
    <row r="168" spans="2:12" s="70" customFormat="1" ht="18.75" x14ac:dyDescent="0.35">
      <c r="B168" s="121" t="s">
        <v>142</v>
      </c>
      <c r="C168" s="122">
        <v>1809</v>
      </c>
      <c r="D168" s="347" t="s">
        <v>409</v>
      </c>
      <c r="E168" s="348" t="s">
        <v>441</v>
      </c>
      <c r="F168" s="349"/>
      <c r="G168" s="349"/>
      <c r="H168" s="349"/>
      <c r="I168" s="349"/>
      <c r="J168" s="435" t="str">
        <f t="shared" si="3"/>
        <v>No</v>
      </c>
      <c r="K168" s="122" t="str">
        <f t="shared" si="4"/>
        <v>No</v>
      </c>
      <c r="L168" s="78" t="str">
        <f t="shared" si="5"/>
        <v>No</v>
      </c>
    </row>
    <row r="169" spans="2:12" s="70" customFormat="1" ht="18.75" x14ac:dyDescent="0.35">
      <c r="B169" s="226" t="s">
        <v>143</v>
      </c>
      <c r="C169" s="227">
        <v>3804.9</v>
      </c>
      <c r="D169" s="347" t="s">
        <v>409</v>
      </c>
      <c r="E169" s="348" t="s">
        <v>194</v>
      </c>
      <c r="F169" s="349"/>
      <c r="G169" s="349"/>
      <c r="H169" s="349"/>
      <c r="I169" s="349"/>
      <c r="J169" s="435" t="str">
        <f t="shared" si="3"/>
        <v>No</v>
      </c>
      <c r="K169" s="122" t="str">
        <f t="shared" si="4"/>
        <v>No</v>
      </c>
      <c r="L169" s="78" t="str">
        <f t="shared" si="5"/>
        <v>No</v>
      </c>
    </row>
    <row r="170" spans="2:12" s="70" customFormat="1" ht="19.5" thickBot="1" x14ac:dyDescent="0.4">
      <c r="B170" s="123" t="s">
        <v>393</v>
      </c>
      <c r="C170" s="124">
        <v>2375</v>
      </c>
      <c r="D170" s="355" t="s">
        <v>409</v>
      </c>
      <c r="E170" s="356" t="s">
        <v>441</v>
      </c>
      <c r="F170" s="129"/>
      <c r="G170" s="129"/>
      <c r="H170" s="129"/>
      <c r="I170" s="129"/>
      <c r="J170" s="436" t="str">
        <f t="shared" si="3"/>
        <v>No</v>
      </c>
      <c r="K170" s="124" t="str">
        <f t="shared" si="4"/>
        <v>No</v>
      </c>
      <c r="L170" s="79" t="str">
        <f t="shared" si="5"/>
        <v>No</v>
      </c>
    </row>
    <row r="171" spans="2:12" s="70" customFormat="1" ht="15.75" x14ac:dyDescent="0.25">
      <c r="B171" s="85" t="s">
        <v>185</v>
      </c>
      <c r="C171" s="86"/>
      <c r="D171" s="86"/>
      <c r="E171" s="86"/>
      <c r="F171" s="86"/>
      <c r="G171" s="86"/>
      <c r="H171" s="86"/>
      <c r="I171" s="87"/>
      <c r="J171" s="62"/>
    </row>
    <row r="172" spans="2:12" s="70" customFormat="1" ht="15.75" x14ac:dyDescent="0.25">
      <c r="B172" s="125" t="s">
        <v>194</v>
      </c>
      <c r="C172" s="126"/>
      <c r="D172" s="126"/>
      <c r="E172" s="127"/>
      <c r="F172" s="127"/>
      <c r="G172" s="127"/>
      <c r="H172" s="127"/>
      <c r="I172" s="104"/>
      <c r="J172" s="62"/>
    </row>
    <row r="173" spans="2:12" s="70" customFormat="1" ht="15.75" x14ac:dyDescent="0.25">
      <c r="B173" s="398" t="s">
        <v>202</v>
      </c>
      <c r="C173" s="126"/>
      <c r="D173" s="126"/>
      <c r="E173" s="127"/>
      <c r="F173" s="127"/>
      <c r="G173" s="127"/>
      <c r="H173" s="127"/>
      <c r="I173" s="104"/>
      <c r="J173" s="62"/>
    </row>
    <row r="174" spans="2:12" s="70" customFormat="1" ht="15.75" x14ac:dyDescent="0.25">
      <c r="B174" s="399" t="s">
        <v>458</v>
      </c>
      <c r="C174" s="396"/>
      <c r="D174" s="396"/>
      <c r="E174" s="397"/>
      <c r="F174" s="397"/>
      <c r="G174" s="397"/>
      <c r="H174" s="397"/>
      <c r="I174" s="400"/>
      <c r="J174" s="62"/>
    </row>
    <row r="175" spans="2:12" s="70" customFormat="1" ht="15.75" x14ac:dyDescent="0.25">
      <c r="B175" s="401" t="s">
        <v>463</v>
      </c>
      <c r="C175" s="396"/>
      <c r="D175" s="396"/>
      <c r="E175" s="397"/>
      <c r="F175" s="397"/>
      <c r="G175" s="397"/>
      <c r="H175" s="397"/>
      <c r="I175" s="400"/>
      <c r="J175" s="62"/>
    </row>
    <row r="176" spans="2:12" s="70" customFormat="1" ht="15.75" x14ac:dyDescent="0.25">
      <c r="B176" s="401" t="s">
        <v>464</v>
      </c>
      <c r="C176" s="396"/>
      <c r="D176" s="396"/>
      <c r="E176" s="397"/>
      <c r="F176" s="397"/>
      <c r="G176" s="397"/>
      <c r="H176" s="397"/>
      <c r="I176" s="400"/>
      <c r="J176" s="62"/>
    </row>
    <row r="177" spans="2:10" s="70" customFormat="1" ht="15.75" x14ac:dyDescent="0.25">
      <c r="B177" s="398" t="s">
        <v>459</v>
      </c>
      <c r="C177" s="396"/>
      <c r="D177" s="396"/>
      <c r="E177" s="397"/>
      <c r="F177" s="397"/>
      <c r="G177" s="397"/>
      <c r="H177" s="397"/>
      <c r="I177" s="400"/>
      <c r="J177" s="62"/>
    </row>
    <row r="178" spans="2:10" s="70" customFormat="1" ht="15.75" x14ac:dyDescent="0.25">
      <c r="B178" s="402" t="s">
        <v>460</v>
      </c>
      <c r="C178" s="396"/>
      <c r="D178" s="396"/>
      <c r="E178" s="397"/>
      <c r="F178" s="397"/>
      <c r="G178" s="397"/>
      <c r="H178" s="397"/>
      <c r="I178" s="400"/>
      <c r="J178" s="62"/>
    </row>
    <row r="179" spans="2:10" s="70" customFormat="1" ht="15.75" x14ac:dyDescent="0.25">
      <c r="B179" s="402" t="s">
        <v>461</v>
      </c>
      <c r="C179" s="396"/>
      <c r="D179" s="396"/>
      <c r="E179" s="397"/>
      <c r="F179" s="397"/>
      <c r="G179" s="397"/>
      <c r="H179" s="397"/>
      <c r="I179" s="400"/>
      <c r="J179" s="62"/>
    </row>
    <row r="180" spans="2:10" s="70" customFormat="1" ht="16.5" thickBot="1" x14ac:dyDescent="0.3">
      <c r="B180" s="128" t="s">
        <v>462</v>
      </c>
      <c r="C180" s="403"/>
      <c r="D180" s="403"/>
      <c r="E180" s="404"/>
      <c r="F180" s="404"/>
      <c r="G180" s="404"/>
      <c r="H180" s="404"/>
      <c r="I180" s="405"/>
      <c r="J180" s="62"/>
    </row>
    <row r="181" spans="2:10" s="70" customFormat="1" ht="15.75" x14ac:dyDescent="0.25">
      <c r="B181" s="62"/>
      <c r="C181" s="396"/>
      <c r="D181" s="396"/>
      <c r="E181" s="397"/>
      <c r="F181" s="397"/>
      <c r="G181" s="397"/>
      <c r="H181" s="397"/>
      <c r="I181" s="397"/>
      <c r="J181" s="62"/>
    </row>
    <row r="182" spans="2:10" s="70" customFormat="1" ht="16.5" thickBot="1" x14ac:dyDescent="0.3">
      <c r="G182" s="62"/>
      <c r="H182" s="62"/>
      <c r="I182" s="62"/>
      <c r="J182" s="62"/>
    </row>
    <row r="183" spans="2:10" s="70" customFormat="1" ht="16.5" thickBot="1" x14ac:dyDescent="0.3">
      <c r="B183" s="265" t="s">
        <v>545</v>
      </c>
      <c r="C183" s="266"/>
      <c r="D183" s="266"/>
      <c r="E183" s="266"/>
      <c r="F183" s="266"/>
      <c r="G183" s="266"/>
      <c r="H183" s="266"/>
      <c r="I183" s="267"/>
      <c r="J183" s="62"/>
    </row>
    <row r="184" spans="2:10" s="70" customFormat="1" ht="31.5" x14ac:dyDescent="0.25">
      <c r="B184" s="364"/>
      <c r="C184" s="365" t="s">
        <v>144</v>
      </c>
      <c r="D184" s="366" t="s">
        <v>77</v>
      </c>
      <c r="E184" s="353" t="s">
        <v>185</v>
      </c>
      <c r="F184" s="353"/>
      <c r="G184" s="353"/>
      <c r="H184" s="353"/>
      <c r="I184" s="354"/>
      <c r="J184" s="62"/>
    </row>
    <row r="185" spans="2:10" s="70" customFormat="1" ht="15.75" x14ac:dyDescent="0.25">
      <c r="B185" s="610"/>
      <c r="C185" s="611"/>
      <c r="D185" s="612"/>
      <c r="E185" s="613"/>
      <c r="F185" s="613"/>
      <c r="G185" s="613"/>
      <c r="H185" s="613"/>
      <c r="I185" s="614"/>
      <c r="J185" s="62"/>
    </row>
    <row r="186" spans="2:10" s="70" customFormat="1" ht="31.5" x14ac:dyDescent="0.25">
      <c r="B186" s="572" t="s">
        <v>587</v>
      </c>
      <c r="C186" s="566">
        <v>0.15</v>
      </c>
      <c r="D186" s="567" t="s">
        <v>146</v>
      </c>
      <c r="E186" s="568" t="s">
        <v>194</v>
      </c>
      <c r="F186" s="568"/>
      <c r="G186" s="568"/>
      <c r="H186" s="568"/>
      <c r="I186" s="573"/>
      <c r="J186" s="62"/>
    </row>
    <row r="187" spans="2:10" s="70" customFormat="1" ht="31.5" x14ac:dyDescent="0.25">
      <c r="B187" s="572" t="s">
        <v>585</v>
      </c>
      <c r="C187" s="566">
        <v>0.156</v>
      </c>
      <c r="D187" s="567" t="s">
        <v>146</v>
      </c>
      <c r="E187" s="568" t="s">
        <v>194</v>
      </c>
      <c r="F187" s="568"/>
      <c r="G187" s="568"/>
      <c r="H187" s="568"/>
      <c r="I187" s="573"/>
      <c r="J187" s="62"/>
    </row>
    <row r="188" spans="2:10" s="70" customFormat="1" ht="31.5" x14ac:dyDescent="0.25">
      <c r="B188" s="574" t="s">
        <v>586</v>
      </c>
      <c r="C188" s="569">
        <v>0.22900000000000001</v>
      </c>
      <c r="D188" s="570" t="s">
        <v>146</v>
      </c>
      <c r="E188" s="568" t="s">
        <v>194</v>
      </c>
      <c r="F188" s="571"/>
      <c r="G188" s="571"/>
      <c r="H188" s="571"/>
      <c r="I188" s="575"/>
      <c r="J188" s="62"/>
    </row>
    <row r="189" spans="2:10" s="70" customFormat="1" ht="32.25" customHeight="1" x14ac:dyDescent="0.25">
      <c r="B189" s="572" t="s">
        <v>145</v>
      </c>
      <c r="C189" s="566">
        <v>0.24199999999999999</v>
      </c>
      <c r="D189" s="567" t="s">
        <v>146</v>
      </c>
      <c r="E189" s="593" t="s">
        <v>194</v>
      </c>
      <c r="F189" s="568"/>
      <c r="G189" s="568"/>
      <c r="H189" s="568"/>
      <c r="I189" s="573"/>
      <c r="J189" s="62"/>
    </row>
    <row r="190" spans="2:10" s="70" customFormat="1" ht="32.25" customHeight="1" x14ac:dyDescent="0.25">
      <c r="B190" s="572" t="s">
        <v>588</v>
      </c>
      <c r="C190" s="566">
        <v>0.03</v>
      </c>
      <c r="D190" s="567" t="s">
        <v>146</v>
      </c>
      <c r="E190" s="593" t="s">
        <v>194</v>
      </c>
      <c r="F190" s="568"/>
      <c r="G190" s="568"/>
      <c r="H190" s="568"/>
      <c r="I190" s="573"/>
      <c r="J190" s="62"/>
    </row>
    <row r="191" spans="2:10" s="70" customFormat="1" ht="32.25" customHeight="1" thickBot="1" x14ac:dyDescent="0.3">
      <c r="B191" s="367" t="s">
        <v>560</v>
      </c>
      <c r="C191" s="594">
        <v>0.01</v>
      </c>
      <c r="D191" s="595" t="s">
        <v>146</v>
      </c>
      <c r="E191" s="578" t="s">
        <v>194</v>
      </c>
      <c r="F191" s="563"/>
      <c r="G191" s="563"/>
      <c r="H191" s="563"/>
      <c r="I191" s="596"/>
      <c r="J191" s="62"/>
    </row>
    <row r="192" spans="2:10" s="70" customFormat="1" ht="16.5" thickBot="1" x14ac:dyDescent="0.3">
      <c r="G192" s="62"/>
      <c r="H192" s="62"/>
      <c r="I192" s="62"/>
      <c r="J192" s="62"/>
    </row>
    <row r="193" spans="2:10" s="70" customFormat="1" ht="16.5" thickBot="1" x14ac:dyDescent="0.3">
      <c r="B193" s="557" t="s">
        <v>546</v>
      </c>
      <c r="C193" s="433"/>
      <c r="D193" s="433"/>
      <c r="E193" s="433"/>
      <c r="F193" s="433"/>
      <c r="G193" s="433"/>
      <c r="H193" s="433"/>
      <c r="I193" s="434"/>
      <c r="J193" s="62"/>
    </row>
    <row r="194" spans="2:10" s="70" customFormat="1" ht="31.5" x14ac:dyDescent="0.25">
      <c r="B194" s="350"/>
      <c r="C194" s="558" t="s">
        <v>144</v>
      </c>
      <c r="D194" s="559" t="s">
        <v>77</v>
      </c>
      <c r="E194" s="560" t="s">
        <v>185</v>
      </c>
      <c r="F194" s="561"/>
      <c r="G194" s="561"/>
      <c r="H194" s="561"/>
      <c r="I194" s="562"/>
      <c r="J194" s="62"/>
    </row>
    <row r="195" spans="2:10" s="70" customFormat="1" ht="31.5" x14ac:dyDescent="0.25">
      <c r="B195" s="572" t="s">
        <v>584</v>
      </c>
      <c r="C195" s="566">
        <v>0.34</v>
      </c>
      <c r="D195" s="567" t="s">
        <v>146</v>
      </c>
      <c r="E195" s="568" t="s">
        <v>548</v>
      </c>
      <c r="F195" s="598"/>
      <c r="G195" s="598"/>
      <c r="H195" s="598"/>
      <c r="I195" s="599"/>
      <c r="J195" s="62"/>
    </row>
    <row r="196" spans="2:10" s="70" customFormat="1" ht="31.5" x14ac:dyDescent="0.25">
      <c r="B196" s="572" t="s">
        <v>547</v>
      </c>
      <c r="C196" s="566">
        <v>0.2</v>
      </c>
      <c r="D196" s="567" t="s">
        <v>146</v>
      </c>
      <c r="E196" s="568" t="s">
        <v>548</v>
      </c>
      <c r="F196" s="598"/>
      <c r="G196" s="598"/>
      <c r="H196" s="598"/>
      <c r="I196" s="599"/>
      <c r="J196" s="62"/>
    </row>
    <row r="197" spans="2:10" s="70" customFormat="1" ht="32.25" thickBot="1" x14ac:dyDescent="0.3">
      <c r="B197" s="367" t="s">
        <v>560</v>
      </c>
      <c r="C197" s="594">
        <v>0.98499999999999999</v>
      </c>
      <c r="D197" s="595" t="s">
        <v>146</v>
      </c>
      <c r="E197" s="597" t="s">
        <v>194</v>
      </c>
      <c r="F197" s="576"/>
      <c r="G197" s="576"/>
      <c r="H197" s="576"/>
      <c r="I197" s="577"/>
      <c r="J197" s="62"/>
    </row>
    <row r="198" spans="2:10" s="70" customFormat="1" ht="15.75" x14ac:dyDescent="0.25">
      <c r="G198" s="62"/>
      <c r="H198" s="62"/>
      <c r="I198" s="62"/>
      <c r="J198" s="62"/>
    </row>
    <row r="199" spans="2:10" s="70" customFormat="1" ht="15.75" x14ac:dyDescent="0.25">
      <c r="G199" s="62"/>
      <c r="H199" s="62"/>
      <c r="I199" s="62"/>
      <c r="J199" s="62"/>
    </row>
    <row r="200" spans="2:10" s="70" customFormat="1" ht="15.75" x14ac:dyDescent="0.25">
      <c r="G200" s="62"/>
      <c r="H200" s="62"/>
      <c r="I200" s="62"/>
      <c r="J200" s="62"/>
    </row>
    <row r="201" spans="2:10" s="70" customFormat="1" ht="15.75" x14ac:dyDescent="0.25">
      <c r="G201" s="62"/>
      <c r="H201" s="62"/>
      <c r="I201" s="62"/>
      <c r="J201" s="62"/>
    </row>
    <row r="202" spans="2:10" s="70" customFormat="1" ht="15.75" x14ac:dyDescent="0.25">
      <c r="G202" s="62"/>
      <c r="H202" s="62"/>
      <c r="I202" s="62"/>
      <c r="J202" s="62"/>
    </row>
    <row r="203" spans="2:10" s="70" customFormat="1" ht="15.75" x14ac:dyDescent="0.25">
      <c r="G203" s="62"/>
      <c r="H203" s="62"/>
      <c r="I203" s="62"/>
      <c r="J203" s="62"/>
    </row>
    <row r="204" spans="2:10" s="70" customFormat="1" ht="15.75" x14ac:dyDescent="0.25">
      <c r="G204" s="62"/>
      <c r="H204" s="62"/>
      <c r="I204" s="62"/>
      <c r="J204" s="62"/>
    </row>
    <row r="205" spans="2:10" s="70" customFormat="1" ht="15.75" x14ac:dyDescent="0.25">
      <c r="G205" s="62"/>
      <c r="H205" s="62"/>
      <c r="I205" s="62"/>
      <c r="J205" s="62"/>
    </row>
    <row r="206" spans="2:10" s="70" customFormat="1" ht="15.75" x14ac:dyDescent="0.25">
      <c r="G206" s="62"/>
      <c r="H206" s="62"/>
      <c r="I206" s="62"/>
      <c r="J206" s="62"/>
    </row>
    <row r="207" spans="2:10" s="70" customFormat="1" ht="15.75" x14ac:dyDescent="0.25">
      <c r="G207" s="62"/>
      <c r="H207" s="62"/>
      <c r="I207" s="62"/>
      <c r="J207" s="62"/>
    </row>
    <row r="208" spans="2:10" s="70" customFormat="1" ht="15.75" x14ac:dyDescent="0.25">
      <c r="G208" s="62"/>
      <c r="H208" s="62"/>
      <c r="I208" s="62"/>
      <c r="J208" s="62"/>
    </row>
    <row r="209" spans="7:10" s="70" customFormat="1" ht="15.75" x14ac:dyDescent="0.25">
      <c r="G209" s="62"/>
      <c r="H209" s="62"/>
      <c r="I209" s="62"/>
      <c r="J209" s="62"/>
    </row>
    <row r="210" spans="7:10" s="70" customFormat="1" ht="15.75" x14ac:dyDescent="0.25">
      <c r="G210" s="62"/>
      <c r="H210" s="62"/>
      <c r="I210" s="62"/>
      <c r="J210" s="62"/>
    </row>
    <row r="211" spans="7:10" s="70" customFormat="1" ht="15.75" x14ac:dyDescent="0.25">
      <c r="G211" s="62"/>
      <c r="H211" s="62"/>
      <c r="I211" s="62"/>
      <c r="J211" s="62"/>
    </row>
    <row r="212" spans="7:10" s="70" customFormat="1" ht="15.75" x14ac:dyDescent="0.25">
      <c r="G212" s="62"/>
      <c r="H212" s="62"/>
      <c r="I212" s="62"/>
      <c r="J212" s="62"/>
    </row>
    <row r="213" spans="7:10" s="70" customFormat="1" ht="15.75" x14ac:dyDescent="0.25">
      <c r="G213" s="62"/>
      <c r="H213" s="62"/>
      <c r="I213" s="62"/>
      <c r="J213" s="62"/>
    </row>
    <row r="214" spans="7:10" s="70" customFormat="1" ht="15.75" x14ac:dyDescent="0.25">
      <c r="G214" s="62"/>
      <c r="H214" s="62"/>
      <c r="I214" s="62"/>
      <c r="J214" s="62"/>
    </row>
    <row r="215" spans="7:10" s="70" customFormat="1" ht="15.75" x14ac:dyDescent="0.25">
      <c r="G215" s="62"/>
      <c r="H215" s="62"/>
      <c r="I215" s="62"/>
      <c r="J215" s="62"/>
    </row>
    <row r="216" spans="7:10" s="70" customFormat="1" ht="15.75" x14ac:dyDescent="0.25">
      <c r="G216" s="62"/>
      <c r="H216" s="62"/>
      <c r="I216" s="62"/>
      <c r="J216" s="62"/>
    </row>
    <row r="217" spans="7:10" s="70" customFormat="1" ht="15.75" x14ac:dyDescent="0.25">
      <c r="G217" s="62"/>
      <c r="H217" s="62"/>
      <c r="I217" s="62"/>
      <c r="J217" s="62"/>
    </row>
    <row r="218" spans="7:10" s="70" customFormat="1" ht="15.75" x14ac:dyDescent="0.25">
      <c r="G218" s="62"/>
      <c r="H218" s="62"/>
      <c r="I218" s="62"/>
      <c r="J218" s="62"/>
    </row>
    <row r="219" spans="7:10" s="70" customFormat="1" ht="15.75" x14ac:dyDescent="0.25">
      <c r="G219" s="62"/>
      <c r="H219" s="62"/>
      <c r="I219" s="62"/>
      <c r="J219" s="62"/>
    </row>
    <row r="220" spans="7:10" s="70" customFormat="1" ht="15.75" x14ac:dyDescent="0.25">
      <c r="G220" s="62"/>
      <c r="H220" s="62"/>
      <c r="I220" s="62"/>
      <c r="J220" s="62"/>
    </row>
    <row r="221" spans="7:10" s="70" customFormat="1" ht="15.75" x14ac:dyDescent="0.25">
      <c r="G221" s="62"/>
      <c r="H221" s="62"/>
      <c r="I221" s="62"/>
      <c r="J221" s="62"/>
    </row>
    <row r="222" spans="7:10" s="70" customFormat="1" ht="15.75" x14ac:dyDescent="0.25">
      <c r="G222" s="62"/>
      <c r="H222" s="62"/>
      <c r="I222" s="62"/>
      <c r="J222" s="62"/>
    </row>
    <row r="223" spans="7:10" s="70" customFormat="1" ht="15.75" x14ac:dyDescent="0.25">
      <c r="G223" s="62"/>
      <c r="H223" s="62"/>
      <c r="I223" s="62"/>
      <c r="J223" s="62"/>
    </row>
    <row r="224" spans="7:10" s="70" customFormat="1" ht="15.75" x14ac:dyDescent="0.25">
      <c r="G224" s="62"/>
      <c r="H224" s="62"/>
      <c r="I224" s="62"/>
      <c r="J224" s="62"/>
    </row>
    <row r="225" spans="7:10" s="70" customFormat="1" ht="15.75" x14ac:dyDescent="0.25">
      <c r="G225" s="62"/>
      <c r="H225" s="62"/>
      <c r="I225" s="62"/>
      <c r="J225" s="62"/>
    </row>
    <row r="226" spans="7:10" s="70" customFormat="1" ht="15.75" x14ac:dyDescent="0.25">
      <c r="G226" s="62"/>
      <c r="H226" s="62"/>
      <c r="I226" s="62"/>
      <c r="J226" s="62"/>
    </row>
    <row r="227" spans="7:10" s="70" customFormat="1" ht="15.75" x14ac:dyDescent="0.25">
      <c r="G227" s="62"/>
      <c r="H227" s="62"/>
      <c r="I227" s="62"/>
      <c r="J227" s="62"/>
    </row>
    <row r="228" spans="7:10" s="70" customFormat="1" ht="15.75" x14ac:dyDescent="0.25">
      <c r="G228" s="62"/>
      <c r="H228" s="62"/>
      <c r="I228" s="62"/>
      <c r="J228" s="62"/>
    </row>
    <row r="229" spans="7:10" s="70" customFormat="1" ht="15.75" x14ac:dyDescent="0.25">
      <c r="G229" s="62"/>
      <c r="H229" s="62"/>
      <c r="I229" s="62"/>
      <c r="J229" s="62"/>
    </row>
    <row r="230" spans="7:10" s="70" customFormat="1" ht="15.75" x14ac:dyDescent="0.25">
      <c r="G230" s="62"/>
      <c r="H230" s="62"/>
    </row>
    <row r="231" spans="7:10" s="70" customFormat="1" ht="15.75" x14ac:dyDescent="0.25">
      <c r="G231" s="62"/>
      <c r="H231" s="62"/>
    </row>
    <row r="232" spans="7:10" s="70" customFormat="1" ht="15.75" x14ac:dyDescent="0.25">
      <c r="G232" s="62"/>
      <c r="H232" s="62"/>
    </row>
    <row r="233" spans="7:10" s="70" customFormat="1" ht="15.75" x14ac:dyDescent="0.25">
      <c r="G233" s="62"/>
      <c r="H233" s="62"/>
    </row>
    <row r="234" spans="7:10" s="70" customFormat="1" ht="15.75" x14ac:dyDescent="0.25"/>
    <row r="235" spans="7:10" s="70" customFormat="1" ht="15.75" x14ac:dyDescent="0.25"/>
    <row r="236" spans="7:10" s="70" customFormat="1" ht="15.75" x14ac:dyDescent="0.25"/>
    <row r="237" spans="7:10" s="70" customFormat="1" ht="15.75" x14ac:dyDescent="0.25"/>
    <row r="238" spans="7:10" s="70" customFormat="1" ht="15.75" x14ac:dyDescent="0.25"/>
    <row r="239" spans="7:10" s="70" customFormat="1" ht="15.75" x14ac:dyDescent="0.25"/>
    <row r="240" spans="7:10" s="70" customFormat="1" ht="15.75" x14ac:dyDescent="0.25"/>
    <row r="241" s="70" customFormat="1" ht="15.75" x14ac:dyDescent="0.25"/>
    <row r="242" s="70" customFormat="1" ht="15.75" x14ac:dyDescent="0.25"/>
    <row r="243" s="70" customFormat="1" ht="15.75" x14ac:dyDescent="0.25"/>
    <row r="244" s="70" customFormat="1" ht="15.75" x14ac:dyDescent="0.25"/>
    <row r="245" s="70" customFormat="1" ht="15.75" x14ac:dyDescent="0.25"/>
    <row r="246" s="70" customFormat="1" ht="15.75" x14ac:dyDescent="0.25"/>
    <row r="247" s="70" customFormat="1" ht="15.75" x14ac:dyDescent="0.25"/>
    <row r="248" s="70" customFormat="1" ht="15.75" x14ac:dyDescent="0.25"/>
    <row r="249" s="70" customFormat="1" ht="15.75" x14ac:dyDescent="0.25"/>
    <row r="250" s="70" customFormat="1" ht="15.75" x14ac:dyDescent="0.25"/>
    <row r="251" s="70" customFormat="1" ht="15.75" x14ac:dyDescent="0.25"/>
    <row r="252" s="70" customFormat="1" ht="15.75" x14ac:dyDescent="0.25"/>
    <row r="253" s="70" customFormat="1" ht="15.75" x14ac:dyDescent="0.25"/>
    <row r="254" s="70" customFormat="1" ht="15.75" x14ac:dyDescent="0.25"/>
    <row r="255" s="70" customFormat="1" ht="15.75" x14ac:dyDescent="0.25"/>
    <row r="256" s="70" customFormat="1" ht="15.75" x14ac:dyDescent="0.25"/>
    <row r="257" s="70" customFormat="1" ht="15.75" x14ac:dyDescent="0.25"/>
    <row r="258" s="70" customFormat="1" ht="15.75" x14ac:dyDescent="0.25"/>
    <row r="259" s="70" customFormat="1" ht="15.75" x14ac:dyDescent="0.25"/>
    <row r="260" s="70" customFormat="1" ht="15.75" x14ac:dyDescent="0.25"/>
    <row r="261" s="70" customFormat="1" ht="15.75" x14ac:dyDescent="0.25"/>
    <row r="262" s="70" customFormat="1" ht="15.75" x14ac:dyDescent="0.25"/>
    <row r="263" s="70" customFormat="1" ht="15.75" x14ac:dyDescent="0.25"/>
    <row r="264" s="70" customFormat="1" ht="15.75" x14ac:dyDescent="0.25"/>
    <row r="265" s="70" customFormat="1" ht="15.75" x14ac:dyDescent="0.25"/>
    <row r="266" s="70" customFormat="1" ht="15.75" x14ac:dyDescent="0.25"/>
    <row r="267" s="70" customFormat="1" ht="15.75" x14ac:dyDescent="0.25"/>
    <row r="268" s="70" customFormat="1" ht="15.75" x14ac:dyDescent="0.25"/>
    <row r="269" s="70" customFormat="1" ht="15.75" x14ac:dyDescent="0.25"/>
    <row r="270" s="70" customFormat="1" ht="15.75" x14ac:dyDescent="0.25"/>
    <row r="271" s="70" customFormat="1" ht="15.75" x14ac:dyDescent="0.25"/>
    <row r="272" s="70" customFormat="1" ht="15.75" x14ac:dyDescent="0.25"/>
    <row r="273" s="70" customFormat="1" ht="15.75" x14ac:dyDescent="0.25"/>
    <row r="274" s="70" customFormat="1" ht="15.75" x14ac:dyDescent="0.25"/>
    <row r="275" s="70" customFormat="1" ht="15.75" x14ac:dyDescent="0.25"/>
    <row r="276" s="70" customFormat="1" ht="15.75" x14ac:dyDescent="0.25"/>
    <row r="277" s="70" customFormat="1" ht="15.75" x14ac:dyDescent="0.25"/>
    <row r="278" s="70" customFormat="1" ht="15.75" x14ac:dyDescent="0.25"/>
    <row r="279" s="70" customFormat="1" ht="15.75" x14ac:dyDescent="0.25"/>
    <row r="280" s="70" customFormat="1" ht="15.75" x14ac:dyDescent="0.25"/>
    <row r="281" s="70" customFormat="1" ht="15.75" x14ac:dyDescent="0.25"/>
    <row r="282" s="70" customFormat="1" ht="15.75" x14ac:dyDescent="0.25"/>
    <row r="283" s="70" customFormat="1" ht="15.75" x14ac:dyDescent="0.25"/>
    <row r="284" s="70" customFormat="1" ht="15.75" x14ac:dyDescent="0.25"/>
    <row r="285" s="70" customFormat="1" ht="15.75" x14ac:dyDescent="0.25"/>
    <row r="286" s="70" customFormat="1" ht="15.75" x14ac:dyDescent="0.25"/>
    <row r="287" s="70" customFormat="1" ht="15.75" x14ac:dyDescent="0.25"/>
    <row r="288" s="70" customFormat="1" ht="15.75" x14ac:dyDescent="0.25"/>
    <row r="289" s="70" customFormat="1" ht="15.75" x14ac:dyDescent="0.25"/>
    <row r="290" s="70" customFormat="1" ht="15.75" x14ac:dyDescent="0.25"/>
    <row r="291" s="70" customFormat="1" ht="15.75" x14ac:dyDescent="0.25"/>
    <row r="292" s="70" customFormat="1" ht="15.75" x14ac:dyDescent="0.25"/>
    <row r="293" s="70" customFormat="1" ht="15.75" x14ac:dyDescent="0.25"/>
    <row r="294" s="70" customFormat="1" ht="15.75" x14ac:dyDescent="0.25"/>
    <row r="295" s="70" customFormat="1" ht="15.75" x14ac:dyDescent="0.25"/>
    <row r="296" s="70" customFormat="1" ht="15.75" x14ac:dyDescent="0.25"/>
    <row r="297" s="70" customFormat="1" ht="15.75" x14ac:dyDescent="0.25"/>
    <row r="298" s="70" customFormat="1" ht="15.75" x14ac:dyDescent="0.25"/>
    <row r="299" s="70" customFormat="1" ht="15.75" x14ac:dyDescent="0.25"/>
    <row r="300" s="70" customFormat="1" ht="15.75" x14ac:dyDescent="0.25"/>
    <row r="301" s="70" customFormat="1" ht="15.75" x14ac:dyDescent="0.25"/>
    <row r="302" s="70" customFormat="1" ht="15.75" x14ac:dyDescent="0.25"/>
    <row r="303" s="70" customFormat="1" ht="15.75" x14ac:dyDescent="0.25"/>
    <row r="304" s="70" customFormat="1" ht="15.75" x14ac:dyDescent="0.25"/>
    <row r="305" s="70" customFormat="1" ht="15.75" x14ac:dyDescent="0.25"/>
    <row r="306" s="70" customFormat="1" ht="15.75" x14ac:dyDescent="0.25"/>
    <row r="307" s="70" customFormat="1" ht="15.75" x14ac:dyDescent="0.25"/>
    <row r="308" s="70" customFormat="1" ht="15.75" x14ac:dyDescent="0.25"/>
    <row r="309" s="70" customFormat="1" ht="15.75" x14ac:dyDescent="0.25"/>
    <row r="310" s="70" customFormat="1" ht="15.75" x14ac:dyDescent="0.25"/>
    <row r="311" s="70" customFormat="1" ht="15.75" x14ac:dyDescent="0.25"/>
    <row r="312" s="70" customFormat="1" ht="15.75" x14ac:dyDescent="0.25"/>
    <row r="313" s="70" customFormat="1" ht="15.75" x14ac:dyDescent="0.25"/>
    <row r="314" s="70" customFormat="1" ht="15.75" x14ac:dyDescent="0.25"/>
    <row r="315" s="70" customFormat="1" ht="15.75" x14ac:dyDescent="0.25"/>
    <row r="316" s="70" customFormat="1" ht="15.75" x14ac:dyDescent="0.25"/>
    <row r="317" s="70" customFormat="1" ht="15.75" x14ac:dyDescent="0.25"/>
    <row r="318" s="70" customFormat="1" ht="15.75" x14ac:dyDescent="0.25"/>
    <row r="319" s="70" customFormat="1" ht="15.75" x14ac:dyDescent="0.25"/>
    <row r="320" s="70" customFormat="1" ht="15.75" x14ac:dyDescent="0.25"/>
    <row r="321" s="70" customFormat="1" ht="15.75" x14ac:dyDescent="0.25"/>
    <row r="322" s="70" customFormat="1" ht="15.75" x14ac:dyDescent="0.25"/>
    <row r="323" s="70" customFormat="1" ht="15.75" x14ac:dyDescent="0.25"/>
    <row r="324" s="70" customFormat="1" ht="15.75" x14ac:dyDescent="0.25"/>
    <row r="325" s="70" customFormat="1" ht="15.75" x14ac:dyDescent="0.25"/>
    <row r="326" s="70" customFormat="1" ht="15.75" x14ac:dyDescent="0.25"/>
    <row r="327" s="70" customFormat="1" ht="15.75" x14ac:dyDescent="0.25"/>
    <row r="328" s="70" customFormat="1" ht="15.75" x14ac:dyDescent="0.25"/>
    <row r="329" s="70" customFormat="1" ht="15.75" x14ac:dyDescent="0.25"/>
    <row r="330" s="70" customFormat="1" ht="15.75" x14ac:dyDescent="0.25"/>
    <row r="331" s="70" customFormat="1" ht="15.75" x14ac:dyDescent="0.25"/>
    <row r="332" s="70" customFormat="1" ht="15.75" x14ac:dyDescent="0.25"/>
    <row r="333" s="70" customFormat="1" ht="15.75" x14ac:dyDescent="0.25"/>
    <row r="334" s="70" customFormat="1" ht="15.75" x14ac:dyDescent="0.25"/>
    <row r="335" s="70" customFormat="1" ht="15.75" x14ac:dyDescent="0.25"/>
    <row r="336" s="70" customFormat="1" ht="15.75" x14ac:dyDescent="0.25"/>
    <row r="337" s="70" customFormat="1" ht="15.75" x14ac:dyDescent="0.25"/>
    <row r="338" s="70" customFormat="1" ht="15.75" x14ac:dyDescent="0.25"/>
    <row r="339" s="70" customFormat="1" ht="15.75" x14ac:dyDescent="0.25"/>
    <row r="340" s="70" customFormat="1" ht="15.75" x14ac:dyDescent="0.25"/>
    <row r="341" s="70" customFormat="1" ht="15.75" x14ac:dyDescent="0.25"/>
    <row r="342" s="70" customFormat="1" ht="15.75" x14ac:dyDescent="0.25"/>
    <row r="343" s="70" customFormat="1" ht="15.75" x14ac:dyDescent="0.25"/>
    <row r="344" s="70" customFormat="1" ht="15.75" x14ac:dyDescent="0.25"/>
    <row r="345" s="70" customFormat="1" ht="15.75" x14ac:dyDescent="0.25"/>
    <row r="346" s="70" customFormat="1" ht="15.75" x14ac:dyDescent="0.25"/>
    <row r="347" s="70" customFormat="1" ht="15.75" x14ac:dyDescent="0.25"/>
    <row r="348" s="70" customFormat="1" ht="15.75" x14ac:dyDescent="0.25"/>
    <row r="349" s="70" customFormat="1" ht="15.75" x14ac:dyDescent="0.25"/>
    <row r="350" s="70" customFormat="1" ht="15.75" x14ac:dyDescent="0.25"/>
    <row r="351" s="70" customFormat="1" ht="15.75" x14ac:dyDescent="0.25"/>
    <row r="352" s="70" customFormat="1" ht="15.75" x14ac:dyDescent="0.25"/>
    <row r="353" s="70" customFormat="1" ht="15.75" x14ac:dyDescent="0.25"/>
    <row r="354" s="70" customFormat="1" ht="15.75" x14ac:dyDescent="0.25"/>
    <row r="355" s="70" customFormat="1" ht="15.75" x14ac:dyDescent="0.25"/>
    <row r="356" s="70" customFormat="1" ht="15.75" x14ac:dyDescent="0.25"/>
    <row r="357" s="70" customFormat="1" ht="15.75" x14ac:dyDescent="0.25"/>
    <row r="358" s="70" customFormat="1" ht="15.75" x14ac:dyDescent="0.25"/>
    <row r="359" s="70" customFormat="1" ht="15.75" x14ac:dyDescent="0.25"/>
    <row r="360" s="70" customFormat="1" ht="15.75" x14ac:dyDescent="0.25"/>
    <row r="361" s="70" customFormat="1" ht="15.75" x14ac:dyDescent="0.25"/>
    <row r="362" s="70" customFormat="1" ht="15.75" x14ac:dyDescent="0.25"/>
    <row r="363" s="70" customFormat="1" ht="15.75" x14ac:dyDescent="0.25"/>
    <row r="364" s="70" customFormat="1" ht="15.75" x14ac:dyDescent="0.25"/>
    <row r="365" s="70" customFormat="1" ht="15.75" x14ac:dyDescent="0.25"/>
    <row r="366" s="70" customFormat="1" ht="15.75" x14ac:dyDescent="0.25"/>
    <row r="367" s="70" customFormat="1" ht="15.75" x14ac:dyDescent="0.25"/>
    <row r="368" s="70" customFormat="1" ht="15.75" x14ac:dyDescent="0.25"/>
    <row r="369" s="70" customFormat="1" ht="15.75" x14ac:dyDescent="0.25"/>
    <row r="370" s="70" customFormat="1" ht="15.75" x14ac:dyDescent="0.25"/>
    <row r="371" s="70" customFormat="1" ht="15.75" x14ac:dyDescent="0.25"/>
    <row r="372" s="70" customFormat="1" ht="15.75" x14ac:dyDescent="0.25"/>
    <row r="373" s="70" customFormat="1" ht="15.75" x14ac:dyDescent="0.25"/>
    <row r="374" s="70" customFormat="1" ht="15.75" x14ac:dyDescent="0.25"/>
    <row r="375" s="70" customFormat="1" ht="15.75" x14ac:dyDescent="0.25"/>
    <row r="376" s="70" customFormat="1" ht="15.75" x14ac:dyDescent="0.25"/>
    <row r="377" s="70" customFormat="1" ht="15.75" x14ac:dyDescent="0.25"/>
    <row r="378" s="70" customFormat="1" ht="15.75" x14ac:dyDescent="0.25"/>
    <row r="379" s="70" customFormat="1" ht="15.75" x14ac:dyDescent="0.25"/>
    <row r="380" s="70" customFormat="1" ht="15.75" x14ac:dyDescent="0.25"/>
    <row r="381" s="70" customFormat="1" ht="15.75" x14ac:dyDescent="0.25"/>
    <row r="382" s="70" customFormat="1" ht="15.75" x14ac:dyDescent="0.25"/>
    <row r="383" s="70" customFormat="1" ht="15.75" x14ac:dyDescent="0.25"/>
    <row r="384" s="70" customFormat="1" ht="15.75" x14ac:dyDescent="0.25"/>
    <row r="385" s="70" customFormat="1" ht="15.75" x14ac:dyDescent="0.25"/>
    <row r="386" s="70" customFormat="1" ht="15.75" x14ac:dyDescent="0.25"/>
    <row r="387" s="70" customFormat="1" ht="15.75" x14ac:dyDescent="0.25"/>
    <row r="388" s="70" customFormat="1" ht="15.75" x14ac:dyDescent="0.25"/>
  </sheetData>
  <hyperlinks>
    <hyperlink ref="B26" r:id="rId1" xr:uid="{00000000-0004-0000-0900-000000000000}"/>
    <hyperlink ref="B20" r:id="rId2" xr:uid="{00000000-0004-0000-0900-000001000000}"/>
    <hyperlink ref="B23" r:id="rId3" xr:uid="{00000000-0004-0000-0900-000002000000}"/>
    <hyperlink ref="B40" r:id="rId4" location="0" xr:uid="{00000000-0004-0000-0900-000003000000}"/>
    <hyperlink ref="B43" r:id="rId5" xr:uid="{00000000-0004-0000-0900-000004000000}"/>
    <hyperlink ref="B173" r:id="rId6" tooltip="CARB Refrigerant Management Program" xr:uid="{00000000-0004-0000-0900-000005000000}"/>
    <hyperlink ref="B177" r:id="rId7" tooltip="IPCC Fourth Assessment Report" xr:uid="{00000000-0004-0000-0900-000006000000}"/>
    <hyperlink ref="B180" r:id="rId8" tooltip="IPCC Fifth Assessment Report" xr:uid="{00000000-0004-0000-0900-000007000000}"/>
  </hyperlinks>
  <pageMargins left="0.7" right="0.7" top="0.98479166666666662" bottom="0.75" header="0.3" footer="0.3"/>
  <pageSetup scale="32" fitToHeight="0" orientation="landscape" r:id="rId9"/>
  <headerFooter>
    <oddFooter>&amp;L&amp;"Avenir LT Std 55 Roman,Regular"&amp;12&amp;K000000FINAL August 5, 2020&amp;C&amp;"Avenir LT Std 55 Roman,Regular"&amp;12Page &amp;P of &amp;N&amp;R&amp;"Avenir LT Std 55 Roman,Regular"&amp;12&amp;K000000&amp;A</oddFooter>
  </headerFooter>
  <rowBreaks count="2" manualBreakCount="2">
    <brk id="88" max="11" man="1"/>
    <brk id="170" max="16383" man="1"/>
  </rowBreaks>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B1:F41"/>
  <sheetViews>
    <sheetView showGridLines="0" zoomScaleNormal="100" workbookViewId="0"/>
  </sheetViews>
  <sheetFormatPr defaultRowHeight="15" x14ac:dyDescent="0.25"/>
  <cols>
    <col min="1" max="1" width="4.28515625" style="51" customWidth="1"/>
    <col min="2" max="2" width="37.7109375" style="51" customWidth="1"/>
    <col min="3" max="3" width="16.42578125" style="51" customWidth="1"/>
    <col min="4" max="4" width="19.5703125" style="51" customWidth="1"/>
    <col min="5" max="5" width="26.85546875" style="51" customWidth="1"/>
    <col min="6" max="16384" width="9.140625" style="51"/>
  </cols>
  <sheetData>
    <row r="1" spans="2:6" s="42" customFormat="1" ht="18.75" customHeight="1" x14ac:dyDescent="0.25">
      <c r="B1" s="232"/>
      <c r="C1" s="232"/>
      <c r="D1" s="232"/>
      <c r="E1" s="232"/>
      <c r="F1" s="232"/>
    </row>
    <row r="2" spans="2:6" s="42" customFormat="1" ht="15" customHeight="1" x14ac:dyDescent="0.25">
      <c r="B2" s="233"/>
      <c r="C2" s="233"/>
      <c r="D2" s="233"/>
      <c r="E2" s="233"/>
      <c r="F2" s="233"/>
    </row>
    <row r="3" spans="2:6" s="42" customFormat="1" ht="18.75" customHeight="1" x14ac:dyDescent="0.25">
      <c r="B3" s="232"/>
      <c r="C3" s="232"/>
      <c r="D3" s="232"/>
      <c r="E3" s="232"/>
      <c r="F3" s="232"/>
    </row>
    <row r="4" spans="2:6" s="42" customFormat="1" ht="18.75" customHeight="1" x14ac:dyDescent="0.25">
      <c r="B4" s="234"/>
      <c r="C4" s="234"/>
      <c r="D4" s="234"/>
      <c r="E4" s="234"/>
      <c r="F4" s="234"/>
    </row>
    <row r="5" spans="2:6" s="42" customFormat="1" ht="15" customHeight="1" x14ac:dyDescent="0.25">
      <c r="B5" s="235"/>
      <c r="C5" s="235"/>
      <c r="D5" s="235"/>
      <c r="E5" s="235"/>
      <c r="F5" s="235"/>
    </row>
    <row r="6" spans="2:6" s="42" customFormat="1" ht="15" customHeight="1" x14ac:dyDescent="0.25">
      <c r="B6" s="182"/>
      <c r="C6" s="182"/>
      <c r="D6" s="182"/>
      <c r="E6" s="182"/>
      <c r="F6" s="182"/>
    </row>
    <row r="7" spans="2:6" s="42" customFormat="1" ht="18.75" customHeight="1" x14ac:dyDescent="0.25">
      <c r="B7" s="232"/>
      <c r="C7" s="232"/>
      <c r="D7" s="232"/>
      <c r="E7" s="232"/>
      <c r="F7" s="232"/>
    </row>
    <row r="8" spans="2:6" s="42" customFormat="1" ht="15" customHeight="1" x14ac:dyDescent="0.25"/>
    <row r="9" spans="2:6" ht="15.75" thickBot="1" x14ac:dyDescent="0.3"/>
    <row r="10" spans="2:6" ht="18" x14ac:dyDescent="0.25">
      <c r="B10" s="270" t="s">
        <v>332</v>
      </c>
      <c r="C10" s="271"/>
      <c r="D10" s="272"/>
    </row>
    <row r="11" spans="2:6" ht="15.75" x14ac:dyDescent="0.25">
      <c r="B11" s="130" t="s">
        <v>173</v>
      </c>
      <c r="C11" s="131" t="s">
        <v>161</v>
      </c>
      <c r="D11" s="132" t="s">
        <v>46</v>
      </c>
    </row>
    <row r="12" spans="2:6" ht="15.75" x14ac:dyDescent="0.25">
      <c r="B12" s="133" t="s">
        <v>174</v>
      </c>
      <c r="C12" s="134">
        <v>0.1318</v>
      </c>
      <c r="D12" s="135" t="s">
        <v>175</v>
      </c>
    </row>
    <row r="13" spans="2:6" ht="16.5" thickBot="1" x14ac:dyDescent="0.3">
      <c r="B13" s="136" t="s">
        <v>176</v>
      </c>
      <c r="C13" s="137">
        <v>0.73</v>
      </c>
      <c r="D13" s="138" t="s">
        <v>179</v>
      </c>
    </row>
    <row r="14" spans="2:6" ht="15.75" thickBot="1" x14ac:dyDescent="0.3">
      <c r="B14" s="139" t="s">
        <v>335</v>
      </c>
      <c r="C14" s="140"/>
      <c r="D14" s="141"/>
    </row>
    <row r="15" spans="2:6" ht="15.75" thickBot="1" x14ac:dyDescent="0.3"/>
    <row r="16" spans="2:6" ht="18" x14ac:dyDescent="0.25">
      <c r="B16" s="270" t="s">
        <v>333</v>
      </c>
      <c r="C16" s="271"/>
      <c r="D16" s="272"/>
      <c r="E16" s="142"/>
    </row>
    <row r="17" spans="2:5" ht="15.75" x14ac:dyDescent="0.25">
      <c r="B17" s="130" t="s">
        <v>160</v>
      </c>
      <c r="C17" s="131" t="s">
        <v>161</v>
      </c>
      <c r="D17" s="132" t="s">
        <v>46</v>
      </c>
      <c r="E17" s="142"/>
    </row>
    <row r="18" spans="2:5" ht="15.75" x14ac:dyDescent="0.25">
      <c r="B18" s="133" t="s">
        <v>162</v>
      </c>
      <c r="C18" s="143">
        <v>3.52</v>
      </c>
      <c r="D18" s="135" t="s">
        <v>163</v>
      </c>
      <c r="E18" s="142"/>
    </row>
    <row r="19" spans="2:5" ht="15.75" x14ac:dyDescent="0.25">
      <c r="B19" s="133" t="s">
        <v>164</v>
      </c>
      <c r="C19" s="143">
        <v>3.84</v>
      </c>
      <c r="D19" s="135" t="s">
        <v>163</v>
      </c>
      <c r="E19" s="142"/>
    </row>
    <row r="20" spans="2:5" ht="15.75" x14ac:dyDescent="0.25">
      <c r="B20" s="133" t="s">
        <v>165</v>
      </c>
      <c r="C20" s="205">
        <f>2.63*0.98/115.83</f>
        <v>2.2251575584908919E-2</v>
      </c>
      <c r="D20" s="135" t="s">
        <v>166</v>
      </c>
      <c r="E20" s="204"/>
    </row>
    <row r="21" spans="2:5" ht="15.75" x14ac:dyDescent="0.25">
      <c r="B21" s="133" t="s">
        <v>167</v>
      </c>
      <c r="C21" s="143">
        <v>3.3</v>
      </c>
      <c r="D21" s="135" t="s">
        <v>168</v>
      </c>
      <c r="E21" s="142"/>
    </row>
    <row r="22" spans="2:5" ht="15.75" x14ac:dyDescent="0.25">
      <c r="B22" s="133" t="s">
        <v>169</v>
      </c>
      <c r="C22" s="143">
        <v>2.9</v>
      </c>
      <c r="D22" s="135" t="s">
        <v>163</v>
      </c>
      <c r="E22" s="142"/>
    </row>
    <row r="23" spans="2:5" ht="15.75" x14ac:dyDescent="0.25">
      <c r="B23" s="133" t="s">
        <v>170</v>
      </c>
      <c r="C23" s="143">
        <v>2.98</v>
      </c>
      <c r="D23" s="135" t="s">
        <v>163</v>
      </c>
      <c r="E23" s="142"/>
    </row>
    <row r="24" spans="2:5" ht="15.75" x14ac:dyDescent="0.25">
      <c r="B24" s="133" t="s">
        <v>171</v>
      </c>
      <c r="C24" s="143">
        <v>3.14</v>
      </c>
      <c r="D24" s="135" t="s">
        <v>163</v>
      </c>
      <c r="E24" s="142"/>
    </row>
    <row r="25" spans="2:5" ht="18.75" thickBot="1" x14ac:dyDescent="0.3">
      <c r="B25" s="144" t="s">
        <v>334</v>
      </c>
      <c r="C25" s="145">
        <v>16.2</v>
      </c>
      <c r="D25" s="146" t="s">
        <v>172</v>
      </c>
      <c r="E25" s="142"/>
    </row>
    <row r="26" spans="2:5" ht="15.75" x14ac:dyDescent="0.25">
      <c r="B26" s="374" t="s">
        <v>427</v>
      </c>
      <c r="C26" s="375"/>
      <c r="D26" s="376"/>
      <c r="E26" s="142"/>
    </row>
    <row r="27" spans="2:5" ht="15.75" x14ac:dyDescent="0.25">
      <c r="B27" s="368" t="s">
        <v>428</v>
      </c>
      <c r="C27" s="369"/>
      <c r="D27" s="370"/>
      <c r="E27" s="142"/>
    </row>
    <row r="28" spans="2:5" ht="15.75" x14ac:dyDescent="0.25">
      <c r="B28" s="368" t="s">
        <v>429</v>
      </c>
      <c r="C28" s="369"/>
      <c r="D28" s="370"/>
      <c r="E28" s="142"/>
    </row>
    <row r="29" spans="2:5" ht="15.75" customHeight="1" x14ac:dyDescent="0.25">
      <c r="B29" s="368" t="s">
        <v>430</v>
      </c>
      <c r="C29" s="369"/>
      <c r="D29" s="370"/>
      <c r="E29" s="142"/>
    </row>
    <row r="30" spans="2:5" ht="16.5" thickBot="1" x14ac:dyDescent="0.3">
      <c r="B30" s="371" t="s">
        <v>431</v>
      </c>
      <c r="C30" s="372"/>
      <c r="D30" s="373"/>
      <c r="E30" s="142"/>
    </row>
    <row r="31" spans="2:5" ht="15.75" thickBot="1" x14ac:dyDescent="0.3"/>
    <row r="32" spans="2:5" ht="15.75" x14ac:dyDescent="0.25">
      <c r="B32" s="279" t="s">
        <v>177</v>
      </c>
      <c r="C32" s="280"/>
      <c r="D32" s="280"/>
      <c r="E32" s="281"/>
    </row>
    <row r="33" spans="2:5" s="147" customFormat="1" ht="15" customHeight="1" x14ac:dyDescent="0.25">
      <c r="B33" s="273" t="s">
        <v>336</v>
      </c>
      <c r="C33" s="274"/>
      <c r="D33" s="274"/>
      <c r="E33" s="275"/>
    </row>
    <row r="34" spans="2:5" s="147" customFormat="1" ht="16.5" customHeight="1" thickBot="1" x14ac:dyDescent="0.3">
      <c r="B34" s="276" t="s">
        <v>178</v>
      </c>
      <c r="C34" s="277"/>
      <c r="D34" s="277"/>
      <c r="E34" s="278"/>
    </row>
    <row r="35" spans="2:5" s="147" customFormat="1" ht="15" customHeight="1" x14ac:dyDescent="0.25">
      <c r="B35" s="148"/>
      <c r="C35" s="149"/>
      <c r="D35" s="149"/>
      <c r="E35" s="92"/>
    </row>
    <row r="36" spans="2:5" s="147" customFormat="1" ht="15.75" x14ac:dyDescent="0.25">
      <c r="B36" s="149"/>
      <c r="C36" s="149"/>
      <c r="D36" s="149"/>
      <c r="E36" s="92"/>
    </row>
    <row r="37" spans="2:5" s="147" customFormat="1" ht="15.75" x14ac:dyDescent="0.25">
      <c r="B37" s="150"/>
    </row>
    <row r="38" spans="2:5" s="147" customFormat="1" ht="15.75" x14ac:dyDescent="0.25"/>
    <row r="39" spans="2:5" s="147" customFormat="1" ht="15.75" x14ac:dyDescent="0.25"/>
    <row r="40" spans="2:5" s="147" customFormat="1" ht="15.75" x14ac:dyDescent="0.25"/>
    <row r="41" spans="2:5" s="147" customFormat="1" ht="15.75" x14ac:dyDescent="0.25"/>
  </sheetData>
  <hyperlinks>
    <hyperlink ref="B34" r:id="rId1" xr:uid="{00000000-0004-0000-0A00-000000000000}"/>
  </hyperlinks>
  <pageMargins left="0.7" right="0.7" top="0.98479166666666662" bottom="0.75" header="0.3" footer="0.3"/>
  <pageSetup scale="71" orientation="portrait" r:id="rId2"/>
  <headerFooter>
    <oddFooter>&amp;L&amp;"Avenir LT Std 55 Roman,Regular"&amp;12&amp;K000000FINAL August 5, 2020&amp;C&amp;"Avenir LT Std 55 Roman,Regular"&amp;12Page &amp;P of &amp;N&amp;R&amp;"Avenir LT Std 55 Roman,Regular"&amp;12&amp;K000000&amp;A</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R61"/>
  <sheetViews>
    <sheetView showGridLines="0" zoomScaleNormal="100" workbookViewId="0"/>
  </sheetViews>
  <sheetFormatPr defaultColWidth="9.140625" defaultRowHeight="15" x14ac:dyDescent="0.25"/>
  <cols>
    <col min="1" max="1" width="4.28515625" style="42" customWidth="1"/>
    <col min="2" max="2" width="53.7109375" style="42" bestFit="1" customWidth="1"/>
    <col min="3" max="3" width="34.42578125" style="42" customWidth="1"/>
    <col min="4" max="4" width="51.140625" style="42" bestFit="1" customWidth="1"/>
    <col min="5" max="7" width="37.7109375" style="42" customWidth="1"/>
    <col min="8" max="8" width="23.7109375" style="42" bestFit="1" customWidth="1"/>
    <col min="9" max="9" width="48.5703125" style="42" bestFit="1" customWidth="1"/>
    <col min="10" max="16384" width="9.140625" style="42"/>
  </cols>
  <sheetData>
    <row r="1" spans="1:18" ht="18.75" customHeight="1" x14ac:dyDescent="0.25">
      <c r="A1" s="232"/>
      <c r="B1" s="232"/>
      <c r="C1" s="232"/>
      <c r="D1" s="232"/>
      <c r="E1" s="232"/>
      <c r="F1" s="232"/>
      <c r="G1" s="232"/>
    </row>
    <row r="2" spans="1:18" ht="15" customHeight="1" x14ac:dyDescent="0.25">
      <c r="A2" s="233"/>
      <c r="B2" s="233"/>
      <c r="C2" s="233"/>
      <c r="D2" s="233"/>
      <c r="E2" s="233"/>
      <c r="F2" s="233"/>
      <c r="G2" s="233"/>
    </row>
    <row r="3" spans="1:18" ht="18.75" customHeight="1" x14ac:dyDescent="0.25">
      <c r="A3" s="232"/>
      <c r="B3" s="232"/>
      <c r="C3" s="232"/>
      <c r="D3" s="232"/>
      <c r="E3" s="232"/>
      <c r="F3" s="232"/>
      <c r="G3" s="232"/>
    </row>
    <row r="4" spans="1:18" ht="18.75" customHeight="1" x14ac:dyDescent="0.25">
      <c r="A4" s="234"/>
      <c r="B4" s="234"/>
      <c r="C4" s="234"/>
      <c r="D4" s="234"/>
      <c r="E4" s="234"/>
      <c r="F4" s="234"/>
      <c r="G4" s="234"/>
    </row>
    <row r="5" spans="1:18" ht="15" customHeight="1" x14ac:dyDescent="0.25">
      <c r="A5" s="235"/>
      <c r="B5" s="235"/>
      <c r="C5" s="235"/>
      <c r="D5" s="235"/>
      <c r="E5" s="235"/>
      <c r="F5" s="235"/>
      <c r="G5" s="235"/>
    </row>
    <row r="6" spans="1:18" ht="15" customHeight="1" x14ac:dyDescent="0.25">
      <c r="A6" s="212"/>
      <c r="B6" s="182"/>
      <c r="C6" s="182"/>
      <c r="D6" s="212"/>
      <c r="E6" s="182"/>
      <c r="F6" s="212"/>
      <c r="G6" s="212"/>
    </row>
    <row r="7" spans="1:18" ht="18.75" customHeight="1" x14ac:dyDescent="0.25">
      <c r="A7" s="232"/>
      <c r="B7" s="232"/>
      <c r="C7" s="232"/>
      <c r="D7" s="232"/>
      <c r="E7" s="232"/>
      <c r="F7" s="232"/>
      <c r="G7" s="232"/>
    </row>
    <row r="8" spans="1:18" ht="15" customHeight="1" x14ac:dyDescent="0.25"/>
    <row r="9" spans="1:18" ht="15" customHeight="1" x14ac:dyDescent="0.25">
      <c r="A9" s="147"/>
    </row>
    <row r="10" spans="1:18" s="70" customFormat="1" ht="15" customHeight="1" thickBot="1" x14ac:dyDescent="0.3">
      <c r="B10" s="154" t="s">
        <v>267</v>
      </c>
      <c r="C10" s="154" t="s">
        <v>74</v>
      </c>
      <c r="D10" s="605" t="s">
        <v>572</v>
      </c>
      <c r="E10" s="155" t="s">
        <v>474</v>
      </c>
      <c r="F10" s="155" t="s">
        <v>472</v>
      </c>
      <c r="G10" s="155" t="s">
        <v>473</v>
      </c>
      <c r="H10" s="154" t="s">
        <v>35</v>
      </c>
      <c r="I10" s="154" t="s">
        <v>68</v>
      </c>
    </row>
    <row r="11" spans="1:18" s="70" customFormat="1" ht="15" customHeight="1" thickTop="1" x14ac:dyDescent="0.25">
      <c r="B11" s="449"/>
      <c r="C11" s="449"/>
      <c r="D11" s="606"/>
      <c r="E11" s="157"/>
      <c r="F11" s="157"/>
      <c r="G11" s="157"/>
      <c r="H11" s="157"/>
      <c r="I11" s="591" t="s">
        <v>69</v>
      </c>
    </row>
    <row r="12" spans="1:18" s="70" customFormat="1" ht="15" customHeight="1" x14ac:dyDescent="0.25">
      <c r="A12" s="63"/>
      <c r="B12" s="158" t="s">
        <v>554</v>
      </c>
      <c r="C12" s="156" t="s">
        <v>479</v>
      </c>
      <c r="D12" s="607" t="s">
        <v>573</v>
      </c>
      <c r="E12" s="160" t="s">
        <v>199</v>
      </c>
      <c r="F12" s="159" t="s">
        <v>83</v>
      </c>
      <c r="G12" s="159" t="s">
        <v>89</v>
      </c>
      <c r="H12" s="156" t="s">
        <v>33</v>
      </c>
      <c r="I12" s="159" t="s">
        <v>70</v>
      </c>
    </row>
    <row r="13" spans="1:18" s="70" customFormat="1" ht="15" customHeight="1" x14ac:dyDescent="0.25">
      <c r="B13" s="158" t="s">
        <v>558</v>
      </c>
      <c r="C13" s="483" t="s">
        <v>478</v>
      </c>
      <c r="D13" s="483" t="s">
        <v>618</v>
      </c>
      <c r="E13" s="159" t="s">
        <v>197</v>
      </c>
      <c r="F13" s="159" t="s">
        <v>84</v>
      </c>
      <c r="G13" s="159" t="s">
        <v>94</v>
      </c>
      <c r="H13" s="158" t="s">
        <v>34</v>
      </c>
      <c r="I13" s="159" t="s">
        <v>71</v>
      </c>
    </row>
    <row r="14" spans="1:18" s="70" customFormat="1" ht="15" customHeight="1" x14ac:dyDescent="0.25">
      <c r="B14" s="158" t="s">
        <v>559</v>
      </c>
      <c r="D14" s="483" t="s">
        <v>574</v>
      </c>
      <c r="E14" s="159" t="s">
        <v>405</v>
      </c>
      <c r="F14" s="159" t="s">
        <v>85</v>
      </c>
      <c r="G14" s="159" t="s">
        <v>95</v>
      </c>
      <c r="I14" s="159" t="s">
        <v>72</v>
      </c>
    </row>
    <row r="15" spans="1:18" s="70" customFormat="1" ht="15" customHeight="1" x14ac:dyDescent="0.25">
      <c r="B15" s="159" t="s">
        <v>555</v>
      </c>
      <c r="D15" s="483" t="s">
        <v>589</v>
      </c>
      <c r="E15" s="159" t="s">
        <v>198</v>
      </c>
      <c r="F15" s="483" t="s">
        <v>86</v>
      </c>
      <c r="G15" s="159" t="s">
        <v>80</v>
      </c>
      <c r="I15" s="159" t="s">
        <v>73</v>
      </c>
      <c r="J15" s="62"/>
      <c r="K15" s="62"/>
      <c r="L15" s="62"/>
      <c r="M15" s="62"/>
      <c r="N15" s="62"/>
      <c r="O15" s="62"/>
      <c r="P15" s="82"/>
      <c r="Q15" s="82"/>
      <c r="R15" s="62"/>
    </row>
    <row r="16" spans="1:18" s="70" customFormat="1" ht="15" customHeight="1" x14ac:dyDescent="0.25">
      <c r="B16" s="159" t="s">
        <v>556</v>
      </c>
      <c r="D16" s="483" t="s">
        <v>654</v>
      </c>
      <c r="E16" s="163" t="s">
        <v>200</v>
      </c>
      <c r="F16" s="486" t="s">
        <v>87</v>
      </c>
      <c r="G16" s="163" t="s">
        <v>97</v>
      </c>
    </row>
    <row r="17" spans="1:7" s="70" customFormat="1" ht="15" customHeight="1" x14ac:dyDescent="0.25">
      <c r="D17" s="483" t="s">
        <v>590</v>
      </c>
      <c r="E17" s="163" t="s">
        <v>195</v>
      </c>
      <c r="F17" s="486" t="s">
        <v>90</v>
      </c>
      <c r="G17" s="163" t="s">
        <v>100</v>
      </c>
    </row>
    <row r="18" spans="1:7" s="70" customFormat="1" ht="15" customHeight="1" x14ac:dyDescent="0.25">
      <c r="E18" s="163" t="s">
        <v>419</v>
      </c>
      <c r="F18" s="486" t="s">
        <v>91</v>
      </c>
      <c r="G18" s="163" t="s">
        <v>201</v>
      </c>
    </row>
    <row r="19" spans="1:7" s="70" customFormat="1" ht="15" customHeight="1" x14ac:dyDescent="0.25">
      <c r="E19" s="163" t="s">
        <v>418</v>
      </c>
      <c r="F19" s="486" t="s">
        <v>92</v>
      </c>
      <c r="G19" s="163" t="s">
        <v>199</v>
      </c>
    </row>
    <row r="20" spans="1:7" s="70" customFormat="1" ht="15" customHeight="1" x14ac:dyDescent="0.25">
      <c r="A20" s="161"/>
      <c r="E20" s="163" t="s">
        <v>196</v>
      </c>
      <c r="F20" s="486" t="s">
        <v>93</v>
      </c>
      <c r="G20" s="163" t="s">
        <v>102</v>
      </c>
    </row>
    <row r="21" spans="1:7" s="70" customFormat="1" ht="15" customHeight="1" x14ac:dyDescent="0.25">
      <c r="A21" s="162"/>
      <c r="E21" s="163" t="s">
        <v>447</v>
      </c>
      <c r="F21" s="486" t="s">
        <v>99</v>
      </c>
      <c r="G21" s="163" t="s">
        <v>103</v>
      </c>
    </row>
    <row r="22" spans="1:7" s="70" customFormat="1" ht="15" customHeight="1" x14ac:dyDescent="0.25">
      <c r="A22" s="162"/>
      <c r="E22" s="163" t="s">
        <v>448</v>
      </c>
      <c r="F22" s="486" t="s">
        <v>101</v>
      </c>
      <c r="G22" s="163" t="s">
        <v>106</v>
      </c>
    </row>
    <row r="23" spans="1:7" s="70" customFormat="1" ht="15" customHeight="1" x14ac:dyDescent="0.25">
      <c r="A23" s="162"/>
      <c r="E23" s="163" t="s">
        <v>402</v>
      </c>
      <c r="F23" s="486" t="s">
        <v>88</v>
      </c>
      <c r="G23" s="163" t="s">
        <v>197</v>
      </c>
    </row>
    <row r="24" spans="1:7" s="70" customFormat="1" ht="15" customHeight="1" x14ac:dyDescent="0.25">
      <c r="A24" s="162"/>
      <c r="E24" s="163" t="s">
        <v>449</v>
      </c>
      <c r="F24" s="486" t="s">
        <v>105</v>
      </c>
      <c r="G24" s="163" t="s">
        <v>107</v>
      </c>
    </row>
    <row r="25" spans="1:7" s="70" customFormat="1" ht="15" customHeight="1" x14ac:dyDescent="0.25">
      <c r="A25" s="162"/>
      <c r="E25" s="163" t="s">
        <v>450</v>
      </c>
      <c r="F25" s="486" t="s">
        <v>112</v>
      </c>
      <c r="G25" s="163" t="s">
        <v>108</v>
      </c>
    </row>
    <row r="26" spans="1:7" s="70" customFormat="1" ht="15" customHeight="1" x14ac:dyDescent="0.25">
      <c r="A26" s="162"/>
      <c r="E26" s="163" t="s">
        <v>451</v>
      </c>
      <c r="F26" s="486" t="s">
        <v>81</v>
      </c>
      <c r="G26" s="163" t="s">
        <v>109</v>
      </c>
    </row>
    <row r="27" spans="1:7" s="70" customFormat="1" ht="15" customHeight="1" x14ac:dyDescent="0.25">
      <c r="A27" s="162"/>
      <c r="E27" s="163" t="s">
        <v>404</v>
      </c>
      <c r="F27" s="486" t="s">
        <v>136</v>
      </c>
      <c r="G27" s="163" t="s">
        <v>396</v>
      </c>
    </row>
    <row r="28" spans="1:7" ht="15" customHeight="1" x14ac:dyDescent="0.25">
      <c r="E28" s="487" t="s">
        <v>403</v>
      </c>
      <c r="F28" s="488" t="s">
        <v>137</v>
      </c>
      <c r="G28" s="487" t="s">
        <v>456</v>
      </c>
    </row>
    <row r="29" spans="1:7" ht="15" customHeight="1" x14ac:dyDescent="0.25">
      <c r="E29" s="487" t="s">
        <v>452</v>
      </c>
      <c r="F29" s="488" t="s">
        <v>138</v>
      </c>
      <c r="G29" s="487" t="s">
        <v>120</v>
      </c>
    </row>
    <row r="30" spans="1:7" ht="15" customHeight="1" x14ac:dyDescent="0.25">
      <c r="E30" s="487" t="s">
        <v>453</v>
      </c>
      <c r="F30" s="488" t="s">
        <v>416</v>
      </c>
      <c r="G30" s="487" t="s">
        <v>121</v>
      </c>
    </row>
    <row r="31" spans="1:7" ht="15" customHeight="1" x14ac:dyDescent="0.25">
      <c r="E31" s="487" t="s">
        <v>417</v>
      </c>
      <c r="F31" s="488" t="s">
        <v>139</v>
      </c>
      <c r="G31" s="487" t="s">
        <v>122</v>
      </c>
    </row>
    <row r="32" spans="1:7" ht="15" customHeight="1" x14ac:dyDescent="0.25">
      <c r="E32" s="487" t="s">
        <v>444</v>
      </c>
      <c r="F32" s="488" t="s">
        <v>141</v>
      </c>
      <c r="G32" s="487" t="s">
        <v>135</v>
      </c>
    </row>
    <row r="33" spans="5:7" ht="15" customHeight="1" x14ac:dyDescent="0.25">
      <c r="E33" s="487" t="s">
        <v>445</v>
      </c>
      <c r="F33" s="61"/>
      <c r="G33" s="487" t="s">
        <v>376</v>
      </c>
    </row>
    <row r="34" spans="5:7" ht="15" customHeight="1" x14ac:dyDescent="0.25">
      <c r="E34" s="61"/>
      <c r="F34" s="61"/>
      <c r="G34" s="487" t="s">
        <v>457</v>
      </c>
    </row>
    <row r="35" spans="5:7" ht="15" customHeight="1" x14ac:dyDescent="0.25">
      <c r="G35" s="645" t="s">
        <v>400</v>
      </c>
    </row>
    <row r="36" spans="5:7" ht="15" customHeight="1" x14ac:dyDescent="0.25">
      <c r="G36" s="645" t="s">
        <v>398</v>
      </c>
    </row>
    <row r="37" spans="5:7" ht="15" customHeight="1" x14ac:dyDescent="0.25">
      <c r="G37" s="645" t="s">
        <v>401</v>
      </c>
    </row>
    <row r="38" spans="5:7" ht="15" customHeight="1" x14ac:dyDescent="0.25">
      <c r="G38" s="645" t="s">
        <v>397</v>
      </c>
    </row>
    <row r="39" spans="5:7" ht="15" customHeight="1" x14ac:dyDescent="0.25">
      <c r="G39" s="645" t="s">
        <v>399</v>
      </c>
    </row>
    <row r="40" spans="5:7" ht="15" customHeight="1" x14ac:dyDescent="0.25">
      <c r="G40" s="645" t="s">
        <v>405</v>
      </c>
    </row>
    <row r="41" spans="5:7" ht="15" customHeight="1" x14ac:dyDescent="0.25">
      <c r="G41" s="645" t="s">
        <v>198</v>
      </c>
    </row>
    <row r="42" spans="5:7" ht="15" customHeight="1" x14ac:dyDescent="0.25">
      <c r="G42" s="645" t="s">
        <v>200</v>
      </c>
    </row>
    <row r="43" spans="5:7" ht="15" customHeight="1" x14ac:dyDescent="0.25">
      <c r="G43" s="645" t="s">
        <v>195</v>
      </c>
    </row>
    <row r="44" spans="5:7" x14ac:dyDescent="0.25">
      <c r="G44" s="645" t="s">
        <v>419</v>
      </c>
    </row>
    <row r="45" spans="5:7" x14ac:dyDescent="0.25">
      <c r="G45" s="645" t="s">
        <v>418</v>
      </c>
    </row>
    <row r="46" spans="5:7" x14ac:dyDescent="0.25">
      <c r="G46" s="645" t="s">
        <v>196</v>
      </c>
    </row>
    <row r="47" spans="5:7" x14ac:dyDescent="0.25">
      <c r="G47" s="645" t="s">
        <v>447</v>
      </c>
    </row>
    <row r="48" spans="5:7" x14ac:dyDescent="0.25">
      <c r="G48" s="645" t="s">
        <v>448</v>
      </c>
    </row>
    <row r="49" spans="7:7" x14ac:dyDescent="0.25">
      <c r="G49" s="645" t="s">
        <v>402</v>
      </c>
    </row>
    <row r="50" spans="7:7" x14ac:dyDescent="0.25">
      <c r="G50" s="645" t="s">
        <v>449</v>
      </c>
    </row>
    <row r="51" spans="7:7" x14ac:dyDescent="0.25">
      <c r="G51" s="645" t="s">
        <v>450</v>
      </c>
    </row>
    <row r="52" spans="7:7" x14ac:dyDescent="0.25">
      <c r="G52" s="645" t="s">
        <v>451</v>
      </c>
    </row>
    <row r="53" spans="7:7" x14ac:dyDescent="0.25">
      <c r="G53" s="645" t="s">
        <v>404</v>
      </c>
    </row>
    <row r="54" spans="7:7" x14ac:dyDescent="0.25">
      <c r="G54" s="645" t="s">
        <v>403</v>
      </c>
    </row>
    <row r="55" spans="7:7" x14ac:dyDescent="0.25">
      <c r="G55" s="645" t="s">
        <v>452</v>
      </c>
    </row>
    <row r="56" spans="7:7" x14ac:dyDescent="0.25">
      <c r="G56" s="645" t="s">
        <v>453</v>
      </c>
    </row>
    <row r="57" spans="7:7" x14ac:dyDescent="0.25">
      <c r="G57" s="645" t="s">
        <v>442</v>
      </c>
    </row>
    <row r="58" spans="7:7" x14ac:dyDescent="0.25">
      <c r="G58" s="645" t="s">
        <v>443</v>
      </c>
    </row>
    <row r="59" spans="7:7" x14ac:dyDescent="0.25">
      <c r="G59" s="645" t="s">
        <v>417</v>
      </c>
    </row>
    <row r="60" spans="7:7" x14ac:dyDescent="0.25">
      <c r="G60" s="645" t="s">
        <v>444</v>
      </c>
    </row>
    <row r="61" spans="7:7" x14ac:dyDescent="0.25">
      <c r="G61" s="645" t="s">
        <v>445</v>
      </c>
    </row>
  </sheetData>
  <pageMargins left="0.7" right="0.7" top="0.98479166666666662" bottom="0.75" header="0.3" footer="0.3"/>
  <pageSetup scale="30" fitToHeight="0" orientation="landscape" r:id="rId1"/>
  <headerFooter>
    <oddFooter>&amp;L&amp;"Avenir LT Std 55 Roman,Regular"&amp;12&amp;K000000FINAL August 5, 2020&amp;C&amp;"Avenir LT Std 55 Roman,Regular"&amp;12Page &amp;P of &amp;N&amp;R&amp;"Avenir LT Std 55 Roman,Regular"&amp;12&amp;K000000&amp;A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BY32"/>
  <sheetViews>
    <sheetView showWhiteSpace="0" topLeftCell="A2" zoomScaleNormal="100" workbookViewId="0">
      <selection activeCell="A33" sqref="A33"/>
    </sheetView>
  </sheetViews>
  <sheetFormatPr defaultColWidth="30.5703125" defaultRowHeight="15" x14ac:dyDescent="0.25"/>
  <cols>
    <col min="1" max="1" width="30.5703125" style="2"/>
    <col min="2" max="31" width="30.5703125" style="2" customWidth="1"/>
    <col min="32" max="32" width="30.5703125" customWidth="1"/>
    <col min="33" max="33" width="30.5703125" style="2" customWidth="1"/>
    <col min="34" max="34" width="30.5703125" style="2" hidden="1" customWidth="1"/>
    <col min="35" max="40" width="30.5703125" style="2" customWidth="1"/>
    <col min="41" max="41" width="30.5703125" style="2" hidden="1" customWidth="1"/>
    <col min="42" max="56" width="30.5703125" style="2" customWidth="1"/>
    <col min="57" max="61" width="30.5703125" style="190" customWidth="1"/>
    <col min="62" max="62" width="30.5703125" style="190" hidden="1" customWidth="1"/>
    <col min="63" max="63" width="30.5703125" style="2" hidden="1" customWidth="1"/>
    <col min="64" max="68" width="30.5703125" style="190" hidden="1" customWidth="1"/>
    <col min="72" max="77" width="30.5703125" style="2" hidden="1" customWidth="1"/>
    <col min="78" max="16384" width="30.5703125" style="2"/>
  </cols>
  <sheetData>
    <row r="1" spans="1:71" hidden="1" x14ac:dyDescent="0.25">
      <c r="A1" s="3" t="s">
        <v>204</v>
      </c>
      <c r="B1" s="3" t="s">
        <v>205</v>
      </c>
      <c r="C1" s="3" t="s">
        <v>206</v>
      </c>
      <c r="D1" s="3" t="s">
        <v>207</v>
      </c>
      <c r="E1" s="3" t="s">
        <v>208</v>
      </c>
      <c r="F1" s="3" t="s">
        <v>209</v>
      </c>
      <c r="G1" s="3" t="s">
        <v>210</v>
      </c>
      <c r="H1" s="3" t="s">
        <v>211</v>
      </c>
      <c r="I1" s="3" t="s">
        <v>212</v>
      </c>
      <c r="J1" s="3" t="s">
        <v>213</v>
      </c>
      <c r="K1" s="3" t="s">
        <v>214</v>
      </c>
      <c r="L1" s="3" t="s">
        <v>215</v>
      </c>
      <c r="M1" s="3" t="s">
        <v>216</v>
      </c>
      <c r="N1" s="3" t="s">
        <v>217</v>
      </c>
      <c r="O1" s="3" t="s">
        <v>218</v>
      </c>
      <c r="P1" s="3" t="s">
        <v>219</v>
      </c>
      <c r="Q1" s="4" t="s">
        <v>220</v>
      </c>
      <c r="R1" s="3" t="s">
        <v>221</v>
      </c>
      <c r="S1" s="3" t="s">
        <v>222</v>
      </c>
      <c r="T1" s="3" t="s">
        <v>223</v>
      </c>
      <c r="U1" s="3" t="s">
        <v>224</v>
      </c>
      <c r="V1" s="3" t="s">
        <v>225</v>
      </c>
      <c r="W1" s="3" t="s">
        <v>226</v>
      </c>
      <c r="X1" s="3" t="s">
        <v>227</v>
      </c>
      <c r="Y1" s="3" t="s">
        <v>228</v>
      </c>
      <c r="Z1" s="3" t="s">
        <v>229</v>
      </c>
      <c r="AA1" s="3" t="s">
        <v>230</v>
      </c>
      <c r="AB1" s="3" t="s">
        <v>231</v>
      </c>
      <c r="AC1" s="3" t="s">
        <v>232</v>
      </c>
      <c r="AD1" s="3" t="s">
        <v>365</v>
      </c>
      <c r="AE1" s="3" t="s">
        <v>364</v>
      </c>
      <c r="AF1" s="3" t="s">
        <v>363</v>
      </c>
      <c r="AG1" s="5" t="s">
        <v>233</v>
      </c>
      <c r="AH1" s="5" t="s">
        <v>362</v>
      </c>
      <c r="AI1" s="203" t="s">
        <v>361</v>
      </c>
      <c r="AJ1" s="6" t="s">
        <v>234</v>
      </c>
      <c r="AK1" s="3" t="s">
        <v>235</v>
      </c>
      <c r="AL1" s="3" t="s">
        <v>236</v>
      </c>
      <c r="AM1" s="4" t="s">
        <v>237</v>
      </c>
      <c r="AN1" s="4" t="s">
        <v>238</v>
      </c>
      <c r="AO1" s="4" t="s">
        <v>360</v>
      </c>
      <c r="AP1" s="4" t="s">
        <v>359</v>
      </c>
      <c r="AQ1" s="4" t="s">
        <v>358</v>
      </c>
      <c r="AR1" s="4" t="s">
        <v>357</v>
      </c>
      <c r="AS1" s="3" t="s">
        <v>239</v>
      </c>
      <c r="AT1" s="3" t="s">
        <v>240</v>
      </c>
      <c r="AU1" s="3" t="s">
        <v>244</v>
      </c>
      <c r="AV1" s="3" t="s">
        <v>241</v>
      </c>
      <c r="AW1" s="3" t="s">
        <v>242</v>
      </c>
      <c r="AX1" s="3" t="s">
        <v>243</v>
      </c>
      <c r="AY1" s="3" t="s">
        <v>245</v>
      </c>
      <c r="AZ1" s="3" t="s">
        <v>246</v>
      </c>
      <c r="BA1" s="3" t="s">
        <v>247</v>
      </c>
      <c r="BB1" s="3" t="s">
        <v>248</v>
      </c>
      <c r="BC1" s="201" t="s">
        <v>249</v>
      </c>
      <c r="BD1" s="201" t="s">
        <v>250</v>
      </c>
      <c r="BE1" s="201" t="s">
        <v>251</v>
      </c>
      <c r="BF1" s="201" t="s">
        <v>252</v>
      </c>
      <c r="BG1" s="201" t="s">
        <v>253</v>
      </c>
      <c r="BH1" s="201" t="s">
        <v>254</v>
      </c>
      <c r="BI1" s="3" t="s">
        <v>255</v>
      </c>
      <c r="BJ1" s="202" t="s">
        <v>256</v>
      </c>
      <c r="BK1" s="202" t="s">
        <v>257</v>
      </c>
      <c r="BL1" s="201" t="s">
        <v>258</v>
      </c>
      <c r="BM1" s="201" t="s">
        <v>259</v>
      </c>
      <c r="BN1" s="201" t="s">
        <v>260</v>
      </c>
      <c r="BO1" s="201" t="s">
        <v>261</v>
      </c>
      <c r="BP1" s="201" t="s">
        <v>262</v>
      </c>
      <c r="BQ1" s="2"/>
      <c r="BR1" s="2"/>
      <c r="BS1" s="2"/>
    </row>
    <row r="2" spans="1:71" ht="63.75" customHeight="1" x14ac:dyDescent="0.25">
      <c r="A2" s="200" t="s">
        <v>263</v>
      </c>
      <c r="B2" s="200" t="s">
        <v>264</v>
      </c>
      <c r="C2" s="200" t="s">
        <v>265</v>
      </c>
      <c r="D2" s="200" t="s">
        <v>266</v>
      </c>
      <c r="E2" s="200" t="s">
        <v>267</v>
      </c>
      <c r="F2" s="200" t="s">
        <v>268</v>
      </c>
      <c r="G2" s="200" t="s">
        <v>269</v>
      </c>
      <c r="H2" s="200" t="s">
        <v>270</v>
      </c>
      <c r="I2" s="200" t="s">
        <v>271</v>
      </c>
      <c r="J2" s="199" t="s">
        <v>272</v>
      </c>
      <c r="K2" s="199" t="s">
        <v>273</v>
      </c>
      <c r="L2" s="200" t="s">
        <v>274</v>
      </c>
      <c r="M2" s="199" t="s">
        <v>275</v>
      </c>
      <c r="N2" s="198" t="s">
        <v>276</v>
      </c>
      <c r="O2" s="198" t="s">
        <v>277</v>
      </c>
      <c r="P2" s="198" t="s">
        <v>278</v>
      </c>
      <c r="Q2" s="198" t="s">
        <v>279</v>
      </c>
      <c r="R2" s="195" t="s">
        <v>280</v>
      </c>
      <c r="S2" s="195" t="s">
        <v>281</v>
      </c>
      <c r="T2" s="195" t="s">
        <v>282</v>
      </c>
      <c r="U2" s="195" t="s">
        <v>283</v>
      </c>
      <c r="V2" s="195" t="s">
        <v>284</v>
      </c>
      <c r="W2" s="195" t="s">
        <v>285</v>
      </c>
      <c r="X2" s="195" t="s">
        <v>286</v>
      </c>
      <c r="Y2" s="195" t="s">
        <v>287</v>
      </c>
      <c r="Z2" s="195" t="s">
        <v>356</v>
      </c>
      <c r="AA2" s="195" t="s">
        <v>355</v>
      </c>
      <c r="AB2" s="195" t="s">
        <v>354</v>
      </c>
      <c r="AC2" s="195" t="s">
        <v>353</v>
      </c>
      <c r="AD2" s="195" t="s">
        <v>352</v>
      </c>
      <c r="AE2" s="195" t="s">
        <v>351</v>
      </c>
      <c r="AF2" s="195" t="s">
        <v>350</v>
      </c>
      <c r="AG2" s="197" t="s">
        <v>39</v>
      </c>
      <c r="AH2" s="197" t="s">
        <v>349</v>
      </c>
      <c r="AI2" s="197" t="s">
        <v>348</v>
      </c>
      <c r="AJ2" s="195" t="s">
        <v>288</v>
      </c>
      <c r="AK2" s="195" t="s">
        <v>40</v>
      </c>
      <c r="AL2" s="195" t="s">
        <v>41</v>
      </c>
      <c r="AM2" s="195" t="s">
        <v>42</v>
      </c>
      <c r="AN2" s="195" t="s">
        <v>43</v>
      </c>
      <c r="AO2" s="195" t="s">
        <v>347</v>
      </c>
      <c r="AP2" s="196" t="s">
        <v>346</v>
      </c>
      <c r="AQ2" s="196" t="s">
        <v>345</v>
      </c>
      <c r="AR2" s="196" t="s">
        <v>344</v>
      </c>
      <c r="AS2" s="195" t="s">
        <v>289</v>
      </c>
      <c r="AT2" s="193" t="s">
        <v>290</v>
      </c>
      <c r="AU2" s="193" t="s">
        <v>291</v>
      </c>
      <c r="AV2" s="193" t="s">
        <v>343</v>
      </c>
      <c r="AW2" s="193" t="s">
        <v>342</v>
      </c>
      <c r="AX2" s="193" t="s">
        <v>341</v>
      </c>
      <c r="AY2" s="193" t="s">
        <v>340</v>
      </c>
      <c r="AZ2" s="193" t="s">
        <v>339</v>
      </c>
      <c r="BA2" s="193" t="s">
        <v>338</v>
      </c>
      <c r="BB2" s="193" t="s">
        <v>337</v>
      </c>
      <c r="BC2" s="194" t="s">
        <v>292</v>
      </c>
      <c r="BD2" s="194" t="s">
        <v>293</v>
      </c>
      <c r="BE2" s="194" t="s">
        <v>294</v>
      </c>
      <c r="BF2" s="194" t="s">
        <v>295</v>
      </c>
      <c r="BG2" s="194" t="s">
        <v>296</v>
      </c>
      <c r="BH2" s="194" t="s">
        <v>297</v>
      </c>
      <c r="BI2" s="193" t="s">
        <v>298</v>
      </c>
      <c r="BJ2" s="192" t="s">
        <v>299</v>
      </c>
      <c r="BK2" s="192" t="s">
        <v>300</v>
      </c>
      <c r="BL2" s="192" t="s">
        <v>301</v>
      </c>
      <c r="BM2" s="192" t="s">
        <v>302</v>
      </c>
      <c r="BN2" s="192" t="s">
        <v>303</v>
      </c>
      <c r="BO2" s="192" t="s">
        <v>304</v>
      </c>
      <c r="BP2" s="192" t="s">
        <v>305</v>
      </c>
      <c r="BQ2" s="2"/>
      <c r="BR2" s="2"/>
      <c r="BS2" s="2"/>
    </row>
    <row r="3" spans="1:71" x14ac:dyDescent="0.25">
      <c r="A3" s="2" t="s">
        <v>369</v>
      </c>
      <c r="B3" s="2" t="s">
        <v>367</v>
      </c>
      <c r="D3" s="2">
        <f>'Project Info'!D21</f>
        <v>0</v>
      </c>
      <c r="G3" s="2">
        <f>'Project Info'!D23</f>
        <v>0</v>
      </c>
      <c r="I3" s="7"/>
      <c r="J3" s="7"/>
      <c r="K3" s="7"/>
      <c r="L3" s="7">
        <f>'Project Info'!D31</f>
        <v>0</v>
      </c>
      <c r="M3" s="7"/>
      <c r="N3" s="2">
        <f>ROUND('Project Info'!D30,0)</f>
        <v>0</v>
      </c>
      <c r="O3" s="2">
        <f>ROUND('Project Info'!D29,0)</f>
        <v>0</v>
      </c>
      <c r="Q3" s="2" t="e">
        <f>ROUND('Project Info'!#REF!,0)</f>
        <v>#REF!</v>
      </c>
      <c r="R3" s="7">
        <f>'Project Info'!D28</f>
        <v>0</v>
      </c>
      <c r="S3" s="8">
        <f>MAX(Inputs!W22:W41)</f>
        <v>0</v>
      </c>
      <c r="T3" s="8" t="e">
        <f>ROUND('Benefits Summary'!C20,0)</f>
        <v>#VALUE!</v>
      </c>
      <c r="U3" s="7">
        <f>'Project Info'!D31</f>
        <v>0</v>
      </c>
      <c r="AA3" s="8" t="e">
        <f>ROUND('Benefits Summary'!E30,0)</f>
        <v>#VALUE!</v>
      </c>
      <c r="AB3" s="8" t="e">
        <f>ROUND('Benefits Summary'!E32,0)</f>
        <v>#VALUE!</v>
      </c>
      <c r="AC3" s="8" t="e">
        <f>ROUND('Benefits Summary'!E31,0)</f>
        <v>#VALUE!</v>
      </c>
      <c r="AD3" s="8" t="e">
        <f>ROUND('Benefits Summary'!D30,0)</f>
        <v>#VALUE!</v>
      </c>
      <c r="AE3" s="8" t="e">
        <f>ROUND('Benefits Summary'!D32,0)</f>
        <v>#VALUE!</v>
      </c>
      <c r="AF3" s="8" t="e">
        <f>ROUND('Benefits Summary'!D31,0)</f>
        <v>#VALUE!</v>
      </c>
      <c r="AG3" s="8" t="e">
        <f>ROUND('Benefits Summary'!C27,0)</f>
        <v>#VALUE!</v>
      </c>
      <c r="AJ3" s="8"/>
      <c r="AK3" s="8" t="e">
        <f>ROUND('Benefits Summary'!C28,0)</f>
        <v>#VALUE!</v>
      </c>
      <c r="AL3" s="8" t="e">
        <f>ROUND('Benefits Summary'!#REF!,0)</f>
        <v>#REF!</v>
      </c>
      <c r="AM3" s="8" t="e">
        <f>ROUND('Benefits Summary'!#REF!,0)</f>
        <v>#REF!</v>
      </c>
      <c r="AN3" s="8" t="e">
        <f>ROUND('Benefits Summary'!#REF!,0)</f>
        <v>#REF!</v>
      </c>
      <c r="AP3" s="191"/>
      <c r="AQ3" s="191"/>
      <c r="AR3" s="191"/>
      <c r="BC3" s="190">
        <f>IF(Table13[[#This Row],[Benefits Criteria Table
Step 1: Disadvantaged Community? (Y/N)]]="Yes",Table13[[#This Row],[Count]],0)</f>
        <v>0</v>
      </c>
      <c r="BD3" s="190">
        <f>IF(Table13[[#This Row],[Benefits Criteria Table
Step 1: Disadvantaged Community? (Y/N)]]="Yes",Table13[[#This Row],[Total GGRF Funding Amount from this Program ($)]],0)</f>
        <v>0</v>
      </c>
      <c r="BE3" s="190">
        <f>IF(Table13[[#This Row],[Benefits Criteria Table
Step 1: Low-income Community or Low-income Household? (Y/N)]]="Yes",Table13[[#This Row],[Count]],0)</f>
        <v>0</v>
      </c>
      <c r="BF3" s="190">
        <f>IF(Table13[[#This Row],[Benefits Criteria Table
Step 1: Low-income Community or Low-income Household? (Y/N)]]="Yes",Table13[[#This Row],[Total GGRF Funding Amount from this Program ($)]],0)</f>
        <v>0</v>
      </c>
      <c r="BG3" s="190">
        <f>IF(Table13[[#This Row],[Benefits Criteria Table
Step 1: Low-income 1/2-mile Buffer Region? (Y/N)]]="Yes",Table13[[#This Row],[Count]],0)</f>
        <v>0</v>
      </c>
      <c r="BH3" s="190">
        <f>IF(Table13[[#This Row],[Benefits Criteria Table
Step 1: Low-income 1/2-mile Buffer Region? (Y/N)]]="Yes",Table13[[#This Row],[Total GGRF Funding Amount from this Program ($)]],0)</f>
        <v>0</v>
      </c>
      <c r="BI3" s="2"/>
      <c r="BJ3" s="190" t="str">
        <f>IF(Table13[[#This Row],[Benefits Criteria Table
Step 1: Disadvantaged Community? (Y/N)]]="YES",IF(Table13[[#This Row],[Select a Priority Population]]="Disadvantaged Community",Table13[[#This Row],[Count]],0),"")</f>
        <v/>
      </c>
      <c r="BK3" s="190" t="str">
        <f>IF(Table13[[#This Row],[Benefits Criteria Table
Step 1: Disadvantaged Community? (Y/N)]]="YES",IF(Table13[[#This Row],[Select a Priority Population]]="Disadvantaged Community",Table13[[#This Row],[Qualifying Disadvantaged Community Benefit Amount ($)]],0),"")</f>
        <v/>
      </c>
      <c r="BL3" s="190">
        <f>IF(Table13[[#This Row],[Benefits Criteria Table
Step 1: Low-income Community or Low-income Household? (Y/N)]]="Yes",IF(Table13[[#This Row],[Select a Priority Population]]="Low-income Community",Table13[[#This Row],[Count]],0),0)</f>
        <v>0</v>
      </c>
      <c r="BM3" s="190">
        <f>IF(Table13[[#This Row],[Benefits Criteria Table
Step 1: Low-income Community or Low-income Household? (Y/N)]]="Yes",IF(Table13[[#This Row],[Select a Priority Population]]="Low-income Community",Table13[[#This Row],[Total GGRF Funding Amount from this Program ($)]],0),0)</f>
        <v>0</v>
      </c>
      <c r="BN3" s="190">
        <f>IF(Table13[[#This Row],[Benefits Criteria Table
Step 1: Low-income 1/2-mile Buffer Region? (Y/N)]]="Yes",IF(Table13[[#This Row],[Select a Priority Population]]="1/2 Mile Buffer Zone",Table13[[#This Row],[Count]],0),0)</f>
        <v>0</v>
      </c>
      <c r="BO3" s="190">
        <f>IF(Table13[[#This Row],[Benefits Criteria Table
Step 1: Low-income 1/2-mile Buffer Region? (Y/N)]]="Yes",IF(Table13[[#This Row],[Select a Priority Population]]="1/2 Mile Buffer Zone",Table13[[#This Row],[Total GGRF Funding Amount from this Program ($)]],0),0)</f>
        <v>0</v>
      </c>
      <c r="BP3" s="190">
        <f>IF(ISBLANK(Table13[[#This Row],[Project ID]]), 0, 1)</f>
        <v>0</v>
      </c>
      <c r="BQ3" s="2"/>
      <c r="BR3" s="2"/>
      <c r="BS3" s="2"/>
    </row>
    <row r="4" spans="1:71" hidden="1" x14ac:dyDescent="0.25">
      <c r="G4" s="2" t="str">
        <f>'Project Info'!D24</f>
        <v>To be completed by CARB</v>
      </c>
      <c r="I4" s="7"/>
      <c r="J4" s="7"/>
      <c r="K4" s="7"/>
      <c r="L4" s="7" t="e">
        <f>'Project Info'!#REF!</f>
        <v>#REF!</v>
      </c>
      <c r="M4" s="7"/>
      <c r="N4" s="2">
        <f>ROUND('Project Info'!D31,0)</f>
        <v>0</v>
      </c>
      <c r="O4" s="2" t="e">
        <f>ROUND('Project Info'!#REF!,0)</f>
        <v>#REF!</v>
      </c>
      <c r="Q4" s="2">
        <f>ROUND('Project Info'!D30,0)</f>
        <v>0</v>
      </c>
      <c r="R4" s="7">
        <f>'Project Info'!D29</f>
        <v>0</v>
      </c>
      <c r="S4" s="8">
        <f>'Project Info'!D32</f>
        <v>0</v>
      </c>
      <c r="T4" s="8" t="e">
        <f>ROUND('Benefits Summary'!C21,0)</f>
        <v>#VALUE!</v>
      </c>
      <c r="U4" s="7">
        <f>'Project Info'!D32</f>
        <v>0</v>
      </c>
      <c r="AA4" s="8" t="e">
        <f>ROUND('Benefits Summary'!E31,0)</f>
        <v>#VALUE!</v>
      </c>
      <c r="AB4" s="8" t="e">
        <f>ROUND('Benefits Summary'!E33,0)</f>
        <v>#VALUE!</v>
      </c>
      <c r="AC4" s="8" t="e">
        <f>ROUND('Benefits Summary'!E32,0)</f>
        <v>#VALUE!</v>
      </c>
      <c r="AD4" s="8" t="e">
        <f>ROUND('Benefits Summary'!D31,0)</f>
        <v>#VALUE!</v>
      </c>
      <c r="AE4" s="8" t="e">
        <f>ROUND('Benefits Summary'!D33,0)</f>
        <v>#VALUE!</v>
      </c>
      <c r="AF4" s="8" t="e">
        <f>ROUND('Benefits Summary'!D32,0)</f>
        <v>#VALUE!</v>
      </c>
      <c r="AG4" s="8" t="e">
        <f>ROUND('Benefits Summary'!C28,0)</f>
        <v>#VALUE!</v>
      </c>
      <c r="AJ4" s="8" t="e">
        <f>ROUND(#REF!,0)</f>
        <v>#REF!</v>
      </c>
      <c r="AK4" s="8" t="e">
        <f>ROUND(#REF!,0)</f>
        <v>#REF!</v>
      </c>
      <c r="AL4" s="8" t="e">
        <f>ROUND('Benefits Summary'!#REF!,0)</f>
        <v>#REF!</v>
      </c>
      <c r="AM4" s="8" t="e">
        <f>ROUND('Benefits Summary'!C29,0)</f>
        <v>#VALUE!</v>
      </c>
      <c r="AN4" s="8" t="e">
        <f>ROUND('Benefits Summary'!#REF!,0)</f>
        <v>#REF!</v>
      </c>
      <c r="AP4" s="191"/>
      <c r="AQ4" s="191"/>
      <c r="AR4" s="191"/>
      <c r="BC4" s="190">
        <f>IF(Table13[[#This Row],[Benefits Criteria Table
Step 1: Disadvantaged Community? (Y/N)]]="Yes",Table13[[#This Row],[Count]],0)</f>
        <v>0</v>
      </c>
      <c r="BD4" s="190">
        <f>IF(Table13[[#This Row],[Benefits Criteria Table
Step 1: Disadvantaged Community? (Y/N)]]="Yes",Table13[[#This Row],[Total GGRF Funding Amount from this Program ($)]],0)</f>
        <v>0</v>
      </c>
      <c r="BE4" s="190">
        <f>IF(Table13[[#This Row],[Benefits Criteria Table
Step 1: Low-income Community or Low-income Household? (Y/N)]]="Yes",Table13[[#This Row],[Count]],0)</f>
        <v>0</v>
      </c>
      <c r="BF4" s="190">
        <f>IF(Table13[[#This Row],[Benefits Criteria Table
Step 1: Low-income Community or Low-income Household? (Y/N)]]="Yes",Table13[[#This Row],[Total GGRF Funding Amount from this Program ($)]],0)</f>
        <v>0</v>
      </c>
      <c r="BG4" s="190">
        <f>IF(Table13[[#This Row],[Benefits Criteria Table
Step 1: Low-income 1/2-mile Buffer Region? (Y/N)]]="Yes",Table13[[#This Row],[Count]],0)</f>
        <v>0</v>
      </c>
      <c r="BH4" s="190">
        <f>IF(Table13[[#This Row],[Benefits Criteria Table
Step 1: Low-income 1/2-mile Buffer Region? (Y/N)]]="Yes",Table13[[#This Row],[Total GGRF Funding Amount from this Program ($)]],0)</f>
        <v>0</v>
      </c>
      <c r="BI4" s="2"/>
      <c r="BJ4" s="190" t="str">
        <f>IF(Table13[[#This Row],[Benefits Criteria Table
Step 1: Disadvantaged Community? (Y/N)]]="YES",IF(Table13[[#This Row],[Select a Priority Population]]="Disadvantaged Community",Table13[[#This Row],[Count]],0),"")</f>
        <v/>
      </c>
      <c r="BK4" s="190" t="str">
        <f>IF(Table13[[#This Row],[Benefits Criteria Table
Step 1: Disadvantaged Community? (Y/N)]]="YES",IF(Table13[[#This Row],[Select a Priority Population]]="Disadvantaged Community",Table13[[#This Row],[Qualifying Disadvantaged Community Benefit Amount ($)]],0),"")</f>
        <v/>
      </c>
      <c r="BL4" s="190">
        <f>IF(Table13[[#This Row],[Benefits Criteria Table
Step 1: Low-income Community or Low-income Household? (Y/N)]]="Yes",IF(Table13[[#This Row],[Select a Priority Population]]="Low-income Community",Table13[[#This Row],[Count]],0),0)</f>
        <v>0</v>
      </c>
      <c r="BM4" s="190">
        <f>IF(Table13[[#This Row],[Benefits Criteria Table
Step 1: Low-income Community or Low-income Household? (Y/N)]]="Yes",IF(Table13[[#This Row],[Select a Priority Population]]="Low-income Community",Table13[[#This Row],[Total GGRF Funding Amount from this Program ($)]],0),0)</f>
        <v>0</v>
      </c>
      <c r="BN4" s="190">
        <f>IF(Table13[[#This Row],[Benefits Criteria Table
Step 1: Low-income 1/2-mile Buffer Region? (Y/N)]]="Yes",IF(Table13[[#This Row],[Select a Priority Population]]="1/2 Mile Buffer Zone",Table13[[#This Row],[Count]],0),0)</f>
        <v>0</v>
      </c>
      <c r="BO4" s="190">
        <f>IF(Table13[[#This Row],[Benefits Criteria Table
Step 1: Low-income 1/2-mile Buffer Region? (Y/N)]]="Yes",IF(Table13[[#This Row],[Select a Priority Population]]="1/2 Mile Buffer Zone",Table13[[#This Row],[Total GGRF Funding Amount from this Program ($)]],0),0)</f>
        <v>0</v>
      </c>
      <c r="BP4" s="190">
        <f>IF(ISBLANK(Table13[[#This Row],[Project ID]]), 0, 1)</f>
        <v>0</v>
      </c>
      <c r="BQ4" s="2"/>
      <c r="BR4" s="2"/>
      <c r="BS4" s="2"/>
    </row>
    <row r="5" spans="1:71" hidden="1" x14ac:dyDescent="0.25">
      <c r="G5" s="2">
        <f>'Project Info'!D25</f>
        <v>0</v>
      </c>
      <c r="I5" s="7"/>
      <c r="J5" s="7"/>
      <c r="K5" s="7"/>
      <c r="L5" s="7">
        <f>'Project Info'!D32</f>
        <v>0</v>
      </c>
      <c r="M5" s="7"/>
      <c r="N5" s="2" t="e">
        <f>ROUND('Project Info'!#REF!,0)</f>
        <v>#REF!</v>
      </c>
      <c r="O5" s="2" t="e">
        <f>ROUND('Project Info'!#REF!,0)</f>
        <v>#REF!</v>
      </c>
      <c r="Q5" s="2">
        <f>ROUND('Project Info'!D31,0)</f>
        <v>0</v>
      </c>
      <c r="R5" s="7" t="e">
        <f>'Project Info'!#REF!</f>
        <v>#REF!</v>
      </c>
      <c r="S5" s="8">
        <f>'Project Info'!D33</f>
        <v>0</v>
      </c>
      <c r="T5" s="8" t="e">
        <f>ROUND('Benefits Summary'!C22,0)</f>
        <v>#VALUE!</v>
      </c>
      <c r="U5" s="7">
        <f>'Project Info'!D33</f>
        <v>0</v>
      </c>
      <c r="AA5" s="8" t="e">
        <f>ROUND('Benefits Summary'!E32,0)</f>
        <v>#VALUE!</v>
      </c>
      <c r="AB5" s="8" t="e">
        <f>ROUND('Benefits Summary'!E34,0)</f>
        <v>#VALUE!</v>
      </c>
      <c r="AC5" s="8" t="e">
        <f>ROUND('Benefits Summary'!E33,0)</f>
        <v>#VALUE!</v>
      </c>
      <c r="AD5" s="8" t="e">
        <f>ROUND('Benefits Summary'!D32,0)</f>
        <v>#VALUE!</v>
      </c>
      <c r="AE5" s="8">
        <f>ROUND('Benefits Summary'!D34,0)</f>
        <v>0</v>
      </c>
      <c r="AF5" s="8" t="e">
        <f>ROUND('Benefits Summary'!D33,0)</f>
        <v>#VALUE!</v>
      </c>
      <c r="AG5" s="8" t="e">
        <f>ROUND(#REF!,0)</f>
        <v>#REF!</v>
      </c>
      <c r="AJ5" s="8" t="e">
        <f>ROUND('Benefits Summary'!#REF!,0)</f>
        <v>#REF!</v>
      </c>
      <c r="AK5" s="8" t="e">
        <f>ROUND('Benefits Summary'!#REF!,0)</f>
        <v>#REF!</v>
      </c>
      <c r="AL5" s="8" t="e">
        <f>ROUND('Benefits Summary'!#REF!,0)</f>
        <v>#REF!</v>
      </c>
      <c r="AM5" s="8" t="e">
        <f>ROUND('Benefits Summary'!C30,0)</f>
        <v>#VALUE!</v>
      </c>
      <c r="AN5" s="8" t="e">
        <f>ROUND('Benefits Summary'!C29,0)</f>
        <v>#VALUE!</v>
      </c>
      <c r="AP5" s="191"/>
      <c r="AQ5" s="191"/>
      <c r="AR5" s="191"/>
      <c r="BC5" s="190">
        <f>IF(Table13[[#This Row],[Benefits Criteria Table
Step 1: Disadvantaged Community? (Y/N)]]="Yes",Table13[[#This Row],[Count]],0)</f>
        <v>0</v>
      </c>
      <c r="BD5" s="190">
        <f>IF(Table13[[#This Row],[Benefits Criteria Table
Step 1: Disadvantaged Community? (Y/N)]]="Yes",Table13[[#This Row],[Total GGRF Funding Amount from this Program ($)]],0)</f>
        <v>0</v>
      </c>
      <c r="BE5" s="190">
        <f>IF(Table13[[#This Row],[Benefits Criteria Table
Step 1: Low-income Community or Low-income Household? (Y/N)]]="Yes",Table13[[#This Row],[Count]],0)</f>
        <v>0</v>
      </c>
      <c r="BF5" s="190">
        <f>IF(Table13[[#This Row],[Benefits Criteria Table
Step 1: Low-income Community or Low-income Household? (Y/N)]]="Yes",Table13[[#This Row],[Total GGRF Funding Amount from this Program ($)]],0)</f>
        <v>0</v>
      </c>
      <c r="BG5" s="190">
        <f>IF(Table13[[#This Row],[Benefits Criteria Table
Step 1: Low-income 1/2-mile Buffer Region? (Y/N)]]="Yes",Table13[[#This Row],[Count]],0)</f>
        <v>0</v>
      </c>
      <c r="BH5" s="190">
        <f>IF(Table13[[#This Row],[Benefits Criteria Table
Step 1: Low-income 1/2-mile Buffer Region? (Y/N)]]="Yes",Table13[[#This Row],[Total GGRF Funding Amount from this Program ($)]],0)</f>
        <v>0</v>
      </c>
      <c r="BI5" s="2"/>
      <c r="BJ5" s="190" t="str">
        <f>IF(Table13[[#This Row],[Benefits Criteria Table
Step 1: Disadvantaged Community? (Y/N)]]="YES",IF(Table13[[#This Row],[Select a Priority Population]]="Disadvantaged Community",Table13[[#This Row],[Count]],0),"")</f>
        <v/>
      </c>
      <c r="BK5" s="190" t="str">
        <f>IF(Table13[[#This Row],[Benefits Criteria Table
Step 1: Disadvantaged Community? (Y/N)]]="YES",IF(Table13[[#This Row],[Select a Priority Population]]="Disadvantaged Community",Table13[[#This Row],[Qualifying Disadvantaged Community Benefit Amount ($)]],0),"")</f>
        <v/>
      </c>
      <c r="BL5" s="190">
        <f>IF(Table13[[#This Row],[Benefits Criteria Table
Step 1: Low-income Community or Low-income Household? (Y/N)]]="Yes",IF(Table13[[#This Row],[Select a Priority Population]]="Low-income Community",Table13[[#This Row],[Count]],0),0)</f>
        <v>0</v>
      </c>
      <c r="BM5" s="190">
        <f>IF(Table13[[#This Row],[Benefits Criteria Table
Step 1: Low-income Community or Low-income Household? (Y/N)]]="Yes",IF(Table13[[#This Row],[Select a Priority Population]]="Low-income Community",Table13[[#This Row],[Total GGRF Funding Amount from this Program ($)]],0),0)</f>
        <v>0</v>
      </c>
      <c r="BN5" s="190">
        <f>IF(Table13[[#This Row],[Benefits Criteria Table
Step 1: Low-income 1/2-mile Buffer Region? (Y/N)]]="Yes",IF(Table13[[#This Row],[Select a Priority Population]]="1/2 Mile Buffer Zone",Table13[[#This Row],[Count]],0),0)</f>
        <v>0</v>
      </c>
      <c r="BO5" s="190">
        <f>IF(Table13[[#This Row],[Benefits Criteria Table
Step 1: Low-income 1/2-mile Buffer Region? (Y/N)]]="Yes",IF(Table13[[#This Row],[Select a Priority Population]]="1/2 Mile Buffer Zone",Table13[[#This Row],[Total GGRF Funding Amount from this Program ($)]],0),0)</f>
        <v>0</v>
      </c>
      <c r="BP5" s="190">
        <f>IF(ISBLANK(Table13[[#This Row],[Project ID]]), 0, 1)</f>
        <v>0</v>
      </c>
      <c r="BQ5" s="2"/>
      <c r="BR5" s="2"/>
      <c r="BS5" s="2"/>
    </row>
    <row r="6" spans="1:71" hidden="1" x14ac:dyDescent="0.25">
      <c r="G6" s="2">
        <f>'Project Info'!D26</f>
        <v>0</v>
      </c>
      <c r="I6" s="7"/>
      <c r="J6" s="7"/>
      <c r="K6" s="7"/>
      <c r="L6" s="7">
        <f>'Project Info'!D33</f>
        <v>0</v>
      </c>
      <c r="M6" s="7"/>
      <c r="N6" s="2">
        <f>ROUND('Project Info'!D32,0)</f>
        <v>0</v>
      </c>
      <c r="O6" s="2">
        <f>ROUND('Project Info'!D30,0)</f>
        <v>0</v>
      </c>
      <c r="Q6" s="2" t="e">
        <f>ROUND('Project Info'!#REF!,0)</f>
        <v>#REF!</v>
      </c>
      <c r="R6" s="7" t="e">
        <f>'Project Info'!#REF!</f>
        <v>#REF!</v>
      </c>
      <c r="S6" s="8">
        <f>'Project Info'!D34</f>
        <v>0</v>
      </c>
      <c r="T6" s="8" t="e">
        <f>ROUND('Benefits Summary'!C23,0)</f>
        <v>#VALUE!</v>
      </c>
      <c r="U6" s="7">
        <f>'Project Info'!D34</f>
        <v>0</v>
      </c>
      <c r="AA6" s="8" t="e">
        <f>ROUND('Benefits Summary'!E33,0)</f>
        <v>#VALUE!</v>
      </c>
      <c r="AB6" s="8">
        <f>ROUND('Benefits Summary'!E35,0)</f>
        <v>0</v>
      </c>
      <c r="AC6" s="8" t="e">
        <f>ROUND('Benefits Summary'!E34,0)</f>
        <v>#VALUE!</v>
      </c>
      <c r="AD6" s="8" t="e">
        <f>ROUND('Benefits Summary'!D33,0)</f>
        <v>#VALUE!</v>
      </c>
      <c r="AE6" s="8">
        <f>ROUND('Benefits Summary'!D35,0)</f>
        <v>0</v>
      </c>
      <c r="AF6" s="8">
        <f>ROUND('Benefits Summary'!D34,0)</f>
        <v>0</v>
      </c>
      <c r="AG6" s="8" t="e">
        <f>ROUND('Benefits Summary'!#REF!,0)</f>
        <v>#REF!</v>
      </c>
      <c r="AJ6" s="8" t="e">
        <f>ROUND('Benefits Summary'!#REF!,0)</f>
        <v>#REF!</v>
      </c>
      <c r="AK6" s="8" t="e">
        <f>ROUND('Benefits Summary'!#REF!,0)</f>
        <v>#REF!</v>
      </c>
      <c r="AL6" s="8" t="e">
        <f>ROUND('Benefits Summary'!C29,0)</f>
        <v>#VALUE!</v>
      </c>
      <c r="AM6" s="8" t="e">
        <f>ROUND('Benefits Summary'!C31,0)</f>
        <v>#VALUE!</v>
      </c>
      <c r="AN6" s="8" t="e">
        <f>ROUND('Benefits Summary'!C30,0)</f>
        <v>#VALUE!</v>
      </c>
      <c r="AP6" s="191"/>
      <c r="AQ6" s="191"/>
      <c r="AR6" s="191"/>
      <c r="BC6" s="190">
        <f>IF(Table13[[#This Row],[Benefits Criteria Table
Step 1: Disadvantaged Community? (Y/N)]]="Yes",Table13[[#This Row],[Count]],0)</f>
        <v>0</v>
      </c>
      <c r="BD6" s="190">
        <f>IF(Table13[[#This Row],[Benefits Criteria Table
Step 1: Disadvantaged Community? (Y/N)]]="Yes",Table13[[#This Row],[Total GGRF Funding Amount from this Program ($)]],0)</f>
        <v>0</v>
      </c>
      <c r="BE6" s="190">
        <f>IF(Table13[[#This Row],[Benefits Criteria Table
Step 1: Low-income Community or Low-income Household? (Y/N)]]="Yes",Table13[[#This Row],[Count]],0)</f>
        <v>0</v>
      </c>
      <c r="BF6" s="190">
        <f>IF(Table13[[#This Row],[Benefits Criteria Table
Step 1: Low-income Community or Low-income Household? (Y/N)]]="Yes",Table13[[#This Row],[Total GGRF Funding Amount from this Program ($)]],0)</f>
        <v>0</v>
      </c>
      <c r="BG6" s="190">
        <f>IF(Table13[[#This Row],[Benefits Criteria Table
Step 1: Low-income 1/2-mile Buffer Region? (Y/N)]]="Yes",Table13[[#This Row],[Count]],0)</f>
        <v>0</v>
      </c>
      <c r="BH6" s="190">
        <f>IF(Table13[[#This Row],[Benefits Criteria Table
Step 1: Low-income 1/2-mile Buffer Region? (Y/N)]]="Yes",Table13[[#This Row],[Total GGRF Funding Amount from this Program ($)]],0)</f>
        <v>0</v>
      </c>
      <c r="BI6" s="2"/>
      <c r="BJ6" s="190" t="str">
        <f>IF(Table13[[#This Row],[Benefits Criteria Table
Step 1: Disadvantaged Community? (Y/N)]]="YES",IF(Table13[[#This Row],[Select a Priority Population]]="Disadvantaged Community",Table13[[#This Row],[Count]],0),"")</f>
        <v/>
      </c>
      <c r="BK6" s="190" t="str">
        <f>IF(Table13[[#This Row],[Benefits Criteria Table
Step 1: Disadvantaged Community? (Y/N)]]="YES",IF(Table13[[#This Row],[Select a Priority Population]]="Disadvantaged Community",Table13[[#This Row],[Qualifying Disadvantaged Community Benefit Amount ($)]],0),"")</f>
        <v/>
      </c>
      <c r="BL6" s="190">
        <f>IF(Table13[[#This Row],[Benefits Criteria Table
Step 1: Low-income Community or Low-income Household? (Y/N)]]="Yes",IF(Table13[[#This Row],[Select a Priority Population]]="Low-income Community",Table13[[#This Row],[Count]],0),0)</f>
        <v>0</v>
      </c>
      <c r="BM6" s="190">
        <f>IF(Table13[[#This Row],[Benefits Criteria Table
Step 1: Low-income Community or Low-income Household? (Y/N)]]="Yes",IF(Table13[[#This Row],[Select a Priority Population]]="Low-income Community",Table13[[#This Row],[Total GGRF Funding Amount from this Program ($)]],0),0)</f>
        <v>0</v>
      </c>
      <c r="BN6" s="190">
        <f>IF(Table13[[#This Row],[Benefits Criteria Table
Step 1: Low-income 1/2-mile Buffer Region? (Y/N)]]="Yes",IF(Table13[[#This Row],[Select a Priority Population]]="1/2 Mile Buffer Zone",Table13[[#This Row],[Count]],0),0)</f>
        <v>0</v>
      </c>
      <c r="BO6" s="190">
        <f>IF(Table13[[#This Row],[Benefits Criteria Table
Step 1: Low-income 1/2-mile Buffer Region? (Y/N)]]="Yes",IF(Table13[[#This Row],[Select a Priority Population]]="1/2 Mile Buffer Zone",Table13[[#This Row],[Total GGRF Funding Amount from this Program ($)]],0),0)</f>
        <v>0</v>
      </c>
      <c r="BP6" s="190">
        <f>IF(ISBLANK(Table13[[#This Row],[Project ID]]), 0, 1)</f>
        <v>0</v>
      </c>
      <c r="BQ6" s="2"/>
      <c r="BR6" s="2"/>
      <c r="BS6" s="2"/>
    </row>
    <row r="7" spans="1:71" hidden="1" x14ac:dyDescent="0.25">
      <c r="G7" s="2">
        <f>'Project Info'!D27</f>
        <v>0</v>
      </c>
      <c r="I7" s="7"/>
      <c r="J7" s="7"/>
      <c r="K7" s="7"/>
      <c r="L7" s="7">
        <f>'Project Info'!D34</f>
        <v>0</v>
      </c>
      <c r="M7" s="7"/>
      <c r="N7" s="2">
        <f>ROUND('Project Info'!D33,0)</f>
        <v>0</v>
      </c>
      <c r="O7" s="2">
        <f>ROUND('Project Info'!D31,0)</f>
        <v>0</v>
      </c>
      <c r="Q7" s="2">
        <f>ROUND('Project Info'!D32,0)</f>
        <v>0</v>
      </c>
      <c r="R7" s="7">
        <f>'Project Info'!D30</f>
        <v>0</v>
      </c>
      <c r="S7" s="8">
        <f>'Project Info'!D35</f>
        <v>0</v>
      </c>
      <c r="T7" s="8">
        <f>ROUND('Benefits Summary'!C24,0)</f>
        <v>0</v>
      </c>
      <c r="U7" s="7">
        <f>'Project Info'!D35</f>
        <v>0</v>
      </c>
      <c r="AA7" s="8" t="e">
        <f>ROUND('Benefits Summary'!E34,0)</f>
        <v>#VALUE!</v>
      </c>
      <c r="AB7" s="8">
        <f>ROUND('Benefits Summary'!E36,0)</f>
        <v>0</v>
      </c>
      <c r="AC7" s="8">
        <f>ROUND('Benefits Summary'!E35,0)</f>
        <v>0</v>
      </c>
      <c r="AD7" s="8">
        <f>ROUND('Benefits Summary'!D34,0)</f>
        <v>0</v>
      </c>
      <c r="AE7" s="8">
        <f>ROUND('Benefits Summary'!D36,0)</f>
        <v>0</v>
      </c>
      <c r="AF7" s="8">
        <f>ROUND('Benefits Summary'!D35,0)</f>
        <v>0</v>
      </c>
      <c r="AG7" s="8" t="e">
        <f>ROUND('Benefits Summary'!#REF!,0)</f>
        <v>#REF!</v>
      </c>
      <c r="AJ7" s="8" t="e">
        <f>ROUND('Benefits Summary'!C29,0)</f>
        <v>#VALUE!</v>
      </c>
      <c r="AK7" s="8" t="e">
        <f>ROUND('Benefits Summary'!C29,0)</f>
        <v>#VALUE!</v>
      </c>
      <c r="AL7" s="8" t="e">
        <f>ROUND('Benefits Summary'!C30,0)</f>
        <v>#VALUE!</v>
      </c>
      <c r="AM7" s="8" t="e">
        <f>ROUND('Benefits Summary'!C32,0)</f>
        <v>#VALUE!</v>
      </c>
      <c r="AN7" s="8" t="e">
        <f>ROUND('Benefits Summary'!C31,0)</f>
        <v>#VALUE!</v>
      </c>
      <c r="AP7" s="191"/>
      <c r="AQ7" s="191"/>
      <c r="AR7" s="191"/>
      <c r="BC7" s="190">
        <f>IF(Table13[[#This Row],[Benefits Criteria Table
Step 1: Disadvantaged Community? (Y/N)]]="Yes",Table13[[#This Row],[Count]],0)</f>
        <v>0</v>
      </c>
      <c r="BD7" s="190">
        <f>IF(Table13[[#This Row],[Benefits Criteria Table
Step 1: Disadvantaged Community? (Y/N)]]="Yes",Table13[[#This Row],[Total GGRF Funding Amount from this Program ($)]],0)</f>
        <v>0</v>
      </c>
      <c r="BE7" s="190">
        <f>IF(Table13[[#This Row],[Benefits Criteria Table
Step 1: Low-income Community or Low-income Household? (Y/N)]]="Yes",Table13[[#This Row],[Count]],0)</f>
        <v>0</v>
      </c>
      <c r="BF7" s="190">
        <f>IF(Table13[[#This Row],[Benefits Criteria Table
Step 1: Low-income Community or Low-income Household? (Y/N)]]="Yes",Table13[[#This Row],[Total GGRF Funding Amount from this Program ($)]],0)</f>
        <v>0</v>
      </c>
      <c r="BG7" s="190">
        <f>IF(Table13[[#This Row],[Benefits Criteria Table
Step 1: Low-income 1/2-mile Buffer Region? (Y/N)]]="Yes",Table13[[#This Row],[Count]],0)</f>
        <v>0</v>
      </c>
      <c r="BH7" s="190">
        <f>IF(Table13[[#This Row],[Benefits Criteria Table
Step 1: Low-income 1/2-mile Buffer Region? (Y/N)]]="Yes",Table13[[#This Row],[Total GGRF Funding Amount from this Program ($)]],0)</f>
        <v>0</v>
      </c>
      <c r="BI7" s="2"/>
      <c r="BJ7" s="190" t="str">
        <f>IF(Table13[[#This Row],[Benefits Criteria Table
Step 1: Disadvantaged Community? (Y/N)]]="YES",IF(Table13[[#This Row],[Select a Priority Population]]="Disadvantaged Community",Table13[[#This Row],[Count]],0),"")</f>
        <v/>
      </c>
      <c r="BK7" s="190" t="str">
        <f>IF(Table13[[#This Row],[Benefits Criteria Table
Step 1: Disadvantaged Community? (Y/N)]]="YES",IF(Table13[[#This Row],[Select a Priority Population]]="Disadvantaged Community",Table13[[#This Row],[Qualifying Disadvantaged Community Benefit Amount ($)]],0),"")</f>
        <v/>
      </c>
      <c r="BL7" s="190">
        <f>IF(Table13[[#This Row],[Benefits Criteria Table
Step 1: Low-income Community or Low-income Household? (Y/N)]]="Yes",IF(Table13[[#This Row],[Select a Priority Population]]="Low-income Community",Table13[[#This Row],[Count]],0),0)</f>
        <v>0</v>
      </c>
      <c r="BM7" s="190">
        <f>IF(Table13[[#This Row],[Benefits Criteria Table
Step 1: Low-income Community or Low-income Household? (Y/N)]]="Yes",IF(Table13[[#This Row],[Select a Priority Population]]="Low-income Community",Table13[[#This Row],[Total GGRF Funding Amount from this Program ($)]],0),0)</f>
        <v>0</v>
      </c>
      <c r="BN7" s="190">
        <f>IF(Table13[[#This Row],[Benefits Criteria Table
Step 1: Low-income 1/2-mile Buffer Region? (Y/N)]]="Yes",IF(Table13[[#This Row],[Select a Priority Population]]="1/2 Mile Buffer Zone",Table13[[#This Row],[Count]],0),0)</f>
        <v>0</v>
      </c>
      <c r="BO7" s="190">
        <f>IF(Table13[[#This Row],[Benefits Criteria Table
Step 1: Low-income 1/2-mile Buffer Region? (Y/N)]]="Yes",IF(Table13[[#This Row],[Select a Priority Population]]="1/2 Mile Buffer Zone",Table13[[#This Row],[Total GGRF Funding Amount from this Program ($)]],0),0)</f>
        <v>0</v>
      </c>
      <c r="BP7" s="190">
        <f>IF(ISBLANK(Table13[[#This Row],[Project ID]]), 0, 1)</f>
        <v>0</v>
      </c>
      <c r="BQ7" s="2"/>
      <c r="BR7" s="2"/>
      <c r="BS7" s="2"/>
    </row>
    <row r="8" spans="1:71" hidden="1" x14ac:dyDescent="0.25">
      <c r="G8" s="2">
        <f>'Project Info'!D28</f>
        <v>0</v>
      </c>
      <c r="I8" s="7"/>
      <c r="J8" s="7"/>
      <c r="K8" s="7"/>
      <c r="L8" s="7">
        <f>'Project Info'!D35</f>
        <v>0</v>
      </c>
      <c r="M8" s="7"/>
      <c r="N8" s="2">
        <f>ROUND('Project Info'!D34,0)</f>
        <v>0</v>
      </c>
      <c r="O8" s="2" t="e">
        <f>ROUND('Project Info'!#REF!,0)</f>
        <v>#REF!</v>
      </c>
      <c r="Q8" s="2">
        <f>ROUND('Project Info'!D33,0)</f>
        <v>0</v>
      </c>
      <c r="R8" s="7">
        <f>'Project Info'!D31</f>
        <v>0</v>
      </c>
      <c r="S8" s="8">
        <f>'Project Info'!D36</f>
        <v>0</v>
      </c>
      <c r="T8" s="8" t="e">
        <f>ROUND('Benefits Summary'!#REF!,0)</f>
        <v>#REF!</v>
      </c>
      <c r="U8" s="7">
        <f>'Project Info'!D36</f>
        <v>0</v>
      </c>
      <c r="AA8" s="8">
        <f>ROUND('Benefits Summary'!E35,0)</f>
        <v>0</v>
      </c>
      <c r="AB8" s="8" t="e">
        <f>ROUND(#REF!,0)</f>
        <v>#REF!</v>
      </c>
      <c r="AC8" s="8">
        <f>ROUND('Benefits Summary'!E36,0)</f>
        <v>0</v>
      </c>
      <c r="AD8" s="8">
        <f>ROUND('Benefits Summary'!D35,0)</f>
        <v>0</v>
      </c>
      <c r="AE8" s="8" t="e">
        <f>ROUND(#REF!,0)</f>
        <v>#REF!</v>
      </c>
      <c r="AF8" s="8">
        <f>ROUND('Benefits Summary'!D36,0)</f>
        <v>0</v>
      </c>
      <c r="AG8" s="8" t="e">
        <f>ROUND('Benefits Summary'!C29,0)</f>
        <v>#VALUE!</v>
      </c>
      <c r="AJ8" s="8" t="e">
        <f>ROUND('Benefits Summary'!C30,0)</f>
        <v>#VALUE!</v>
      </c>
      <c r="AK8" s="8" t="e">
        <f>ROUND('Benefits Summary'!C30,0)</f>
        <v>#VALUE!</v>
      </c>
      <c r="AL8" s="8" t="e">
        <f>ROUND('Benefits Summary'!C31,0)</f>
        <v>#VALUE!</v>
      </c>
      <c r="AM8" s="8" t="e">
        <f>ROUND('Benefits Summary'!C33,0)</f>
        <v>#VALUE!</v>
      </c>
      <c r="AN8" s="8" t="e">
        <f>ROUND('Benefits Summary'!C32,0)</f>
        <v>#VALUE!</v>
      </c>
      <c r="AP8" s="191"/>
      <c r="AQ8" s="191"/>
      <c r="AR8" s="191"/>
      <c r="BC8" s="190">
        <f>IF(Table13[[#This Row],[Benefits Criteria Table
Step 1: Disadvantaged Community? (Y/N)]]="Yes",Table13[[#This Row],[Count]],0)</f>
        <v>0</v>
      </c>
      <c r="BD8" s="190">
        <f>IF(Table13[[#This Row],[Benefits Criteria Table
Step 1: Disadvantaged Community? (Y/N)]]="Yes",Table13[[#This Row],[Total GGRF Funding Amount from this Program ($)]],0)</f>
        <v>0</v>
      </c>
      <c r="BE8" s="190">
        <f>IF(Table13[[#This Row],[Benefits Criteria Table
Step 1: Low-income Community or Low-income Household? (Y/N)]]="Yes",Table13[[#This Row],[Count]],0)</f>
        <v>0</v>
      </c>
      <c r="BF8" s="190">
        <f>IF(Table13[[#This Row],[Benefits Criteria Table
Step 1: Low-income Community or Low-income Household? (Y/N)]]="Yes",Table13[[#This Row],[Total GGRF Funding Amount from this Program ($)]],0)</f>
        <v>0</v>
      </c>
      <c r="BG8" s="190">
        <f>IF(Table13[[#This Row],[Benefits Criteria Table
Step 1: Low-income 1/2-mile Buffer Region? (Y/N)]]="Yes",Table13[[#This Row],[Count]],0)</f>
        <v>0</v>
      </c>
      <c r="BH8" s="190">
        <f>IF(Table13[[#This Row],[Benefits Criteria Table
Step 1: Low-income 1/2-mile Buffer Region? (Y/N)]]="Yes",Table13[[#This Row],[Total GGRF Funding Amount from this Program ($)]],0)</f>
        <v>0</v>
      </c>
      <c r="BI8" s="2"/>
      <c r="BJ8" s="190" t="str">
        <f>IF(Table13[[#This Row],[Benefits Criteria Table
Step 1: Disadvantaged Community? (Y/N)]]="YES",IF(Table13[[#This Row],[Select a Priority Population]]="Disadvantaged Community",Table13[[#This Row],[Count]],0),"")</f>
        <v/>
      </c>
      <c r="BK8" s="190" t="str">
        <f>IF(Table13[[#This Row],[Benefits Criteria Table
Step 1: Disadvantaged Community? (Y/N)]]="YES",IF(Table13[[#This Row],[Select a Priority Population]]="Disadvantaged Community",Table13[[#This Row],[Qualifying Disadvantaged Community Benefit Amount ($)]],0),"")</f>
        <v/>
      </c>
      <c r="BL8" s="190">
        <f>IF(Table13[[#This Row],[Benefits Criteria Table
Step 1: Low-income Community or Low-income Household? (Y/N)]]="Yes",IF(Table13[[#This Row],[Select a Priority Population]]="Low-income Community",Table13[[#This Row],[Count]],0),0)</f>
        <v>0</v>
      </c>
      <c r="BM8" s="190">
        <f>IF(Table13[[#This Row],[Benefits Criteria Table
Step 1: Low-income Community or Low-income Household? (Y/N)]]="Yes",IF(Table13[[#This Row],[Select a Priority Population]]="Low-income Community",Table13[[#This Row],[Total GGRF Funding Amount from this Program ($)]],0),0)</f>
        <v>0</v>
      </c>
      <c r="BN8" s="190">
        <f>IF(Table13[[#This Row],[Benefits Criteria Table
Step 1: Low-income 1/2-mile Buffer Region? (Y/N)]]="Yes",IF(Table13[[#This Row],[Select a Priority Population]]="1/2 Mile Buffer Zone",Table13[[#This Row],[Count]],0),0)</f>
        <v>0</v>
      </c>
      <c r="BO8" s="190">
        <f>IF(Table13[[#This Row],[Benefits Criteria Table
Step 1: Low-income 1/2-mile Buffer Region? (Y/N)]]="Yes",IF(Table13[[#This Row],[Select a Priority Population]]="1/2 Mile Buffer Zone",Table13[[#This Row],[Total GGRF Funding Amount from this Program ($)]],0),0)</f>
        <v>0</v>
      </c>
      <c r="BP8" s="190">
        <f>IF(ISBLANK(Table13[[#This Row],[Project ID]]), 0, 1)</f>
        <v>0</v>
      </c>
      <c r="BQ8" s="2"/>
      <c r="BR8" s="2"/>
      <c r="BS8" s="2"/>
    </row>
    <row r="9" spans="1:71" hidden="1" x14ac:dyDescent="0.25">
      <c r="G9" s="2">
        <f>'Project Info'!D29</f>
        <v>0</v>
      </c>
      <c r="I9" s="7"/>
      <c r="J9" s="7"/>
      <c r="K9" s="7"/>
      <c r="L9" s="7">
        <f>'Project Info'!D36</f>
        <v>0</v>
      </c>
      <c r="M9" s="7"/>
      <c r="N9" s="2">
        <f>ROUND('Project Info'!D35,0)</f>
        <v>0</v>
      </c>
      <c r="O9" s="2">
        <f>ROUND('Project Info'!D32,0)</f>
        <v>0</v>
      </c>
      <c r="Q9" s="2">
        <f>ROUND('Project Info'!D34,0)</f>
        <v>0</v>
      </c>
      <c r="R9" s="7">
        <f>'Project Info'!D32</f>
        <v>0</v>
      </c>
      <c r="S9" s="8">
        <f>'Project Info'!D37</f>
        <v>0</v>
      </c>
      <c r="T9" s="8" t="e">
        <f>ROUND('Benefits Summary'!#REF!,0)</f>
        <v>#REF!</v>
      </c>
      <c r="U9" s="7">
        <f>'Project Info'!D37</f>
        <v>0</v>
      </c>
      <c r="AA9" s="8">
        <f>ROUND('Benefits Summary'!E36,0)</f>
        <v>0</v>
      </c>
      <c r="AB9" s="8" t="e">
        <f>ROUND('Benefits Summary'!#REF!,0)</f>
        <v>#REF!</v>
      </c>
      <c r="AC9" s="8" t="e">
        <f>ROUND(#REF!,0)</f>
        <v>#REF!</v>
      </c>
      <c r="AD9" s="8">
        <f>ROUND('Benefits Summary'!D36,0)</f>
        <v>0</v>
      </c>
      <c r="AE9" s="8" t="e">
        <f>ROUND('Benefits Summary'!#REF!,0)</f>
        <v>#REF!</v>
      </c>
      <c r="AF9" s="8" t="e">
        <f>ROUND(#REF!,0)</f>
        <v>#REF!</v>
      </c>
      <c r="AG9" s="8" t="e">
        <f>ROUND('Benefits Summary'!C30,0)</f>
        <v>#VALUE!</v>
      </c>
      <c r="AJ9" s="8" t="e">
        <f>ROUND('Benefits Summary'!C31,0)</f>
        <v>#VALUE!</v>
      </c>
      <c r="AK9" s="8" t="e">
        <f>ROUND('Benefits Summary'!C31,0)</f>
        <v>#VALUE!</v>
      </c>
      <c r="AL9" s="8" t="e">
        <f>ROUND('Benefits Summary'!C32,0)</f>
        <v>#VALUE!</v>
      </c>
      <c r="AM9" s="8">
        <f>ROUND('Benefits Summary'!C34,0)</f>
        <v>0</v>
      </c>
      <c r="AN9" s="8" t="e">
        <f>ROUND('Benefits Summary'!C33,0)</f>
        <v>#VALUE!</v>
      </c>
      <c r="AP9" s="191"/>
      <c r="AQ9" s="191"/>
      <c r="AR9" s="191"/>
      <c r="BC9" s="190">
        <f>IF(Table13[[#This Row],[Benefits Criteria Table
Step 1: Disadvantaged Community? (Y/N)]]="Yes",Table13[[#This Row],[Count]],0)</f>
        <v>0</v>
      </c>
      <c r="BD9" s="190">
        <f>IF(Table13[[#This Row],[Benefits Criteria Table
Step 1: Disadvantaged Community? (Y/N)]]="Yes",Table13[[#This Row],[Total GGRF Funding Amount from this Program ($)]],0)</f>
        <v>0</v>
      </c>
      <c r="BE9" s="190">
        <f>IF(Table13[[#This Row],[Benefits Criteria Table
Step 1: Low-income Community or Low-income Household? (Y/N)]]="Yes",Table13[[#This Row],[Count]],0)</f>
        <v>0</v>
      </c>
      <c r="BF9" s="190">
        <f>IF(Table13[[#This Row],[Benefits Criteria Table
Step 1: Low-income Community or Low-income Household? (Y/N)]]="Yes",Table13[[#This Row],[Total GGRF Funding Amount from this Program ($)]],0)</f>
        <v>0</v>
      </c>
      <c r="BG9" s="190">
        <f>IF(Table13[[#This Row],[Benefits Criteria Table
Step 1: Low-income 1/2-mile Buffer Region? (Y/N)]]="Yes",Table13[[#This Row],[Count]],0)</f>
        <v>0</v>
      </c>
      <c r="BH9" s="190">
        <f>IF(Table13[[#This Row],[Benefits Criteria Table
Step 1: Low-income 1/2-mile Buffer Region? (Y/N)]]="Yes",Table13[[#This Row],[Total GGRF Funding Amount from this Program ($)]],0)</f>
        <v>0</v>
      </c>
      <c r="BI9" s="2"/>
      <c r="BJ9" s="190" t="str">
        <f>IF(Table13[[#This Row],[Benefits Criteria Table
Step 1: Disadvantaged Community? (Y/N)]]="YES",IF(Table13[[#This Row],[Select a Priority Population]]="Disadvantaged Community",Table13[[#This Row],[Count]],0),"")</f>
        <v/>
      </c>
      <c r="BK9" s="190" t="str">
        <f>IF(Table13[[#This Row],[Benefits Criteria Table
Step 1: Disadvantaged Community? (Y/N)]]="YES",IF(Table13[[#This Row],[Select a Priority Population]]="Disadvantaged Community",Table13[[#This Row],[Qualifying Disadvantaged Community Benefit Amount ($)]],0),"")</f>
        <v/>
      </c>
      <c r="BL9" s="190">
        <f>IF(Table13[[#This Row],[Benefits Criteria Table
Step 1: Low-income Community or Low-income Household? (Y/N)]]="Yes",IF(Table13[[#This Row],[Select a Priority Population]]="Low-income Community",Table13[[#This Row],[Count]],0),0)</f>
        <v>0</v>
      </c>
      <c r="BM9" s="190">
        <f>IF(Table13[[#This Row],[Benefits Criteria Table
Step 1: Low-income Community or Low-income Household? (Y/N)]]="Yes",IF(Table13[[#This Row],[Select a Priority Population]]="Low-income Community",Table13[[#This Row],[Total GGRF Funding Amount from this Program ($)]],0),0)</f>
        <v>0</v>
      </c>
      <c r="BN9" s="190">
        <f>IF(Table13[[#This Row],[Benefits Criteria Table
Step 1: Low-income 1/2-mile Buffer Region? (Y/N)]]="Yes",IF(Table13[[#This Row],[Select a Priority Population]]="1/2 Mile Buffer Zone",Table13[[#This Row],[Count]],0),0)</f>
        <v>0</v>
      </c>
      <c r="BO9" s="190">
        <f>IF(Table13[[#This Row],[Benefits Criteria Table
Step 1: Low-income 1/2-mile Buffer Region? (Y/N)]]="Yes",IF(Table13[[#This Row],[Select a Priority Population]]="1/2 Mile Buffer Zone",Table13[[#This Row],[Total GGRF Funding Amount from this Program ($)]],0),0)</f>
        <v>0</v>
      </c>
      <c r="BP9" s="190">
        <f>IF(ISBLANK(Table13[[#This Row],[Project ID]]), 0, 1)</f>
        <v>0</v>
      </c>
      <c r="BQ9" s="2"/>
      <c r="BR9" s="2"/>
      <c r="BS9" s="2"/>
    </row>
    <row r="10" spans="1:71" hidden="1" x14ac:dyDescent="0.25">
      <c r="G10" s="2" t="e">
        <f>'Project Info'!#REF!</f>
        <v>#REF!</v>
      </c>
      <c r="I10" s="7"/>
      <c r="J10" s="7"/>
      <c r="K10" s="7"/>
      <c r="L10" s="7">
        <f>'Project Info'!D37</f>
        <v>0</v>
      </c>
      <c r="M10" s="7"/>
      <c r="N10" s="2">
        <f>ROUND('Project Info'!D36,0)</f>
        <v>0</v>
      </c>
      <c r="O10" s="2">
        <f>ROUND('Project Info'!D33,0)</f>
        <v>0</v>
      </c>
      <c r="Q10" s="2">
        <f>ROUND('Project Info'!D35,0)</f>
        <v>0</v>
      </c>
      <c r="R10" s="7">
        <f>'Project Info'!D33</f>
        <v>0</v>
      </c>
      <c r="S10" s="8">
        <f>'Project Info'!D38</f>
        <v>0</v>
      </c>
      <c r="T10" s="8" t="e">
        <f>ROUND('Benefits Summary'!#REF!,0)</f>
        <v>#REF!</v>
      </c>
      <c r="U10" s="7">
        <f>'Project Info'!D38</f>
        <v>0</v>
      </c>
      <c r="AA10" s="8" t="e">
        <f>ROUND(#REF!,0)</f>
        <v>#REF!</v>
      </c>
      <c r="AB10" s="8" t="e">
        <f>ROUND('Benefits Summary'!#REF!,0)</f>
        <v>#REF!</v>
      </c>
      <c r="AC10" s="8" t="e">
        <f>ROUND('Benefits Summary'!#REF!,0)</f>
        <v>#REF!</v>
      </c>
      <c r="AD10" s="8" t="e">
        <f>ROUND(#REF!,0)</f>
        <v>#REF!</v>
      </c>
      <c r="AE10" s="8" t="e">
        <f>ROUND('Benefits Summary'!#REF!,0)</f>
        <v>#REF!</v>
      </c>
      <c r="AF10" s="8" t="e">
        <f>ROUND('Benefits Summary'!#REF!,0)</f>
        <v>#REF!</v>
      </c>
      <c r="AG10" s="8" t="e">
        <f>ROUND('Benefits Summary'!C31,0)</f>
        <v>#VALUE!</v>
      </c>
      <c r="AJ10" s="8" t="e">
        <f>ROUND('Benefits Summary'!C32,0)</f>
        <v>#VALUE!</v>
      </c>
      <c r="AK10" s="8" t="e">
        <f>ROUND('Benefits Summary'!C32,0)</f>
        <v>#VALUE!</v>
      </c>
      <c r="AL10" s="8" t="e">
        <f>ROUND('Benefits Summary'!C33,0)</f>
        <v>#VALUE!</v>
      </c>
      <c r="AM10" s="8" t="e">
        <f>ROUND('Benefits Summary'!C35,0)</f>
        <v>#VALUE!</v>
      </c>
      <c r="AN10" s="8">
        <f>ROUND('Benefits Summary'!C34,0)</f>
        <v>0</v>
      </c>
      <c r="AP10" s="191"/>
      <c r="AQ10" s="191"/>
      <c r="AR10" s="191"/>
      <c r="BC10" s="190">
        <f>IF(Table13[[#This Row],[Benefits Criteria Table
Step 1: Disadvantaged Community? (Y/N)]]="Yes",Table13[[#This Row],[Count]],0)</f>
        <v>0</v>
      </c>
      <c r="BD10" s="190">
        <f>IF(Table13[[#This Row],[Benefits Criteria Table
Step 1: Disadvantaged Community? (Y/N)]]="Yes",Table13[[#This Row],[Total GGRF Funding Amount from this Program ($)]],0)</f>
        <v>0</v>
      </c>
      <c r="BE10" s="190">
        <f>IF(Table13[[#This Row],[Benefits Criteria Table
Step 1: Low-income Community or Low-income Household? (Y/N)]]="Yes",Table13[[#This Row],[Count]],0)</f>
        <v>0</v>
      </c>
      <c r="BF10" s="190">
        <f>IF(Table13[[#This Row],[Benefits Criteria Table
Step 1: Low-income Community or Low-income Household? (Y/N)]]="Yes",Table13[[#This Row],[Total GGRF Funding Amount from this Program ($)]],0)</f>
        <v>0</v>
      </c>
      <c r="BG10" s="190">
        <f>IF(Table13[[#This Row],[Benefits Criteria Table
Step 1: Low-income 1/2-mile Buffer Region? (Y/N)]]="Yes",Table13[[#This Row],[Count]],0)</f>
        <v>0</v>
      </c>
      <c r="BH10" s="190">
        <f>IF(Table13[[#This Row],[Benefits Criteria Table
Step 1: Low-income 1/2-mile Buffer Region? (Y/N)]]="Yes",Table13[[#This Row],[Total GGRF Funding Amount from this Program ($)]],0)</f>
        <v>0</v>
      </c>
      <c r="BI10" s="2"/>
      <c r="BJ10" s="190" t="str">
        <f>IF(Table13[[#This Row],[Benefits Criteria Table
Step 1: Disadvantaged Community? (Y/N)]]="YES",IF(Table13[[#This Row],[Select a Priority Population]]="Disadvantaged Community",Table13[[#This Row],[Count]],0),"")</f>
        <v/>
      </c>
      <c r="BK10" s="190" t="str">
        <f>IF(Table13[[#This Row],[Benefits Criteria Table
Step 1: Disadvantaged Community? (Y/N)]]="YES",IF(Table13[[#This Row],[Select a Priority Population]]="Disadvantaged Community",Table13[[#This Row],[Qualifying Disadvantaged Community Benefit Amount ($)]],0),"")</f>
        <v/>
      </c>
      <c r="BL10" s="190">
        <f>IF(Table13[[#This Row],[Benefits Criteria Table
Step 1: Low-income Community or Low-income Household? (Y/N)]]="Yes",IF(Table13[[#This Row],[Select a Priority Population]]="Low-income Community",Table13[[#This Row],[Count]],0),0)</f>
        <v>0</v>
      </c>
      <c r="BM10" s="190">
        <f>IF(Table13[[#This Row],[Benefits Criteria Table
Step 1: Low-income Community or Low-income Household? (Y/N)]]="Yes",IF(Table13[[#This Row],[Select a Priority Population]]="Low-income Community",Table13[[#This Row],[Total GGRF Funding Amount from this Program ($)]],0),0)</f>
        <v>0</v>
      </c>
      <c r="BN10" s="190">
        <f>IF(Table13[[#This Row],[Benefits Criteria Table
Step 1: Low-income 1/2-mile Buffer Region? (Y/N)]]="Yes",IF(Table13[[#This Row],[Select a Priority Population]]="1/2 Mile Buffer Zone",Table13[[#This Row],[Count]],0),0)</f>
        <v>0</v>
      </c>
      <c r="BO10" s="190">
        <f>IF(Table13[[#This Row],[Benefits Criteria Table
Step 1: Low-income 1/2-mile Buffer Region? (Y/N)]]="Yes",IF(Table13[[#This Row],[Select a Priority Population]]="1/2 Mile Buffer Zone",Table13[[#This Row],[Total GGRF Funding Amount from this Program ($)]],0),0)</f>
        <v>0</v>
      </c>
      <c r="BP10" s="190">
        <f>IF(ISBLANK(Table13[[#This Row],[Project ID]]), 0, 1)</f>
        <v>0</v>
      </c>
      <c r="BQ10" s="2"/>
      <c r="BR10" s="2"/>
      <c r="BS10" s="2"/>
    </row>
    <row r="11" spans="1:71" hidden="1" x14ac:dyDescent="0.25">
      <c r="G11" s="2" t="e">
        <f>'Project Info'!#REF!</f>
        <v>#REF!</v>
      </c>
      <c r="I11" s="7"/>
      <c r="J11" s="7"/>
      <c r="K11" s="7"/>
      <c r="L11" s="7">
        <f>'Project Info'!D38</f>
        <v>0</v>
      </c>
      <c r="M11" s="7"/>
      <c r="N11" s="2">
        <f>ROUND('Project Info'!D37,0)</f>
        <v>0</v>
      </c>
      <c r="O11" s="2">
        <f>ROUND('Project Info'!D34,0)</f>
        <v>0</v>
      </c>
      <c r="Q11" s="2">
        <f>ROUND('Project Info'!D36,0)</f>
        <v>0</v>
      </c>
      <c r="R11" s="7">
        <f>'Project Info'!D34</f>
        <v>0</v>
      </c>
      <c r="S11" s="8">
        <f>'Project Info'!D39</f>
        <v>0</v>
      </c>
      <c r="T11" s="8" t="e">
        <f>ROUND('Benefits Summary'!#REF!,0)</f>
        <v>#REF!</v>
      </c>
      <c r="U11" s="7">
        <f>'Project Info'!D39</f>
        <v>0</v>
      </c>
      <c r="AA11" s="8" t="e">
        <f>ROUND('Benefits Summary'!#REF!,0)</f>
        <v>#REF!</v>
      </c>
      <c r="AB11" s="8" t="e">
        <f>ROUND('Benefits Summary'!E37,0)</f>
        <v>#VALUE!</v>
      </c>
      <c r="AC11" s="8" t="e">
        <f>ROUND('Benefits Summary'!#REF!,0)</f>
        <v>#REF!</v>
      </c>
      <c r="AD11" s="8" t="e">
        <f>ROUND('Benefits Summary'!#REF!,0)</f>
        <v>#REF!</v>
      </c>
      <c r="AE11" s="8" t="e">
        <f>ROUND('Benefits Summary'!D37,0)</f>
        <v>#VALUE!</v>
      </c>
      <c r="AF11" s="8" t="e">
        <f>ROUND('Benefits Summary'!#REF!,0)</f>
        <v>#REF!</v>
      </c>
      <c r="AG11" s="8" t="e">
        <f>ROUND('Benefits Summary'!C32,0)</f>
        <v>#VALUE!</v>
      </c>
      <c r="AJ11" s="8" t="e">
        <f>ROUND('Benefits Summary'!C33,0)</f>
        <v>#VALUE!</v>
      </c>
      <c r="AK11" s="8" t="e">
        <f>ROUND('Benefits Summary'!C33,0)</f>
        <v>#VALUE!</v>
      </c>
      <c r="AL11" s="8">
        <f>ROUND('Benefits Summary'!C34,0)</f>
        <v>0</v>
      </c>
      <c r="AM11" s="8" t="e">
        <f>ROUND('Benefits Summary'!C36,0)</f>
        <v>#VALUE!</v>
      </c>
      <c r="AN11" s="8" t="e">
        <f>ROUND('Benefits Summary'!C35,0)</f>
        <v>#VALUE!</v>
      </c>
      <c r="AP11" s="191"/>
      <c r="AQ11" s="191"/>
      <c r="AR11" s="191"/>
      <c r="BC11" s="190">
        <f>IF(Table13[[#This Row],[Benefits Criteria Table
Step 1: Disadvantaged Community? (Y/N)]]="Yes",Table13[[#This Row],[Count]],0)</f>
        <v>0</v>
      </c>
      <c r="BD11" s="190">
        <f>IF(Table13[[#This Row],[Benefits Criteria Table
Step 1: Disadvantaged Community? (Y/N)]]="Yes",Table13[[#This Row],[Total GGRF Funding Amount from this Program ($)]],0)</f>
        <v>0</v>
      </c>
      <c r="BE11" s="190">
        <f>IF(Table13[[#This Row],[Benefits Criteria Table
Step 1: Low-income Community or Low-income Household? (Y/N)]]="Yes",Table13[[#This Row],[Count]],0)</f>
        <v>0</v>
      </c>
      <c r="BF11" s="190">
        <f>IF(Table13[[#This Row],[Benefits Criteria Table
Step 1: Low-income Community or Low-income Household? (Y/N)]]="Yes",Table13[[#This Row],[Total GGRF Funding Amount from this Program ($)]],0)</f>
        <v>0</v>
      </c>
      <c r="BG11" s="190">
        <f>IF(Table13[[#This Row],[Benefits Criteria Table
Step 1: Low-income 1/2-mile Buffer Region? (Y/N)]]="Yes",Table13[[#This Row],[Count]],0)</f>
        <v>0</v>
      </c>
      <c r="BH11" s="190">
        <f>IF(Table13[[#This Row],[Benefits Criteria Table
Step 1: Low-income 1/2-mile Buffer Region? (Y/N)]]="Yes",Table13[[#This Row],[Total GGRF Funding Amount from this Program ($)]],0)</f>
        <v>0</v>
      </c>
      <c r="BI11" s="2"/>
      <c r="BJ11" s="190" t="str">
        <f>IF(Table13[[#This Row],[Benefits Criteria Table
Step 1: Disadvantaged Community? (Y/N)]]="YES",IF(Table13[[#This Row],[Select a Priority Population]]="Disadvantaged Community",Table13[[#This Row],[Count]],0),"")</f>
        <v/>
      </c>
      <c r="BK11" s="190" t="str">
        <f>IF(Table13[[#This Row],[Benefits Criteria Table
Step 1: Disadvantaged Community? (Y/N)]]="YES",IF(Table13[[#This Row],[Select a Priority Population]]="Disadvantaged Community",Table13[[#This Row],[Qualifying Disadvantaged Community Benefit Amount ($)]],0),"")</f>
        <v/>
      </c>
      <c r="BL11" s="190">
        <f>IF(Table13[[#This Row],[Benefits Criteria Table
Step 1: Low-income Community or Low-income Household? (Y/N)]]="Yes",IF(Table13[[#This Row],[Select a Priority Population]]="Low-income Community",Table13[[#This Row],[Count]],0),0)</f>
        <v>0</v>
      </c>
      <c r="BM11" s="190">
        <f>IF(Table13[[#This Row],[Benefits Criteria Table
Step 1: Low-income Community or Low-income Household? (Y/N)]]="Yes",IF(Table13[[#This Row],[Select a Priority Population]]="Low-income Community",Table13[[#This Row],[Total GGRF Funding Amount from this Program ($)]],0),0)</f>
        <v>0</v>
      </c>
      <c r="BN11" s="190">
        <f>IF(Table13[[#This Row],[Benefits Criteria Table
Step 1: Low-income 1/2-mile Buffer Region? (Y/N)]]="Yes",IF(Table13[[#This Row],[Select a Priority Population]]="1/2 Mile Buffer Zone",Table13[[#This Row],[Count]],0),0)</f>
        <v>0</v>
      </c>
      <c r="BO11" s="190">
        <f>IF(Table13[[#This Row],[Benefits Criteria Table
Step 1: Low-income 1/2-mile Buffer Region? (Y/N)]]="Yes",IF(Table13[[#This Row],[Select a Priority Population]]="1/2 Mile Buffer Zone",Table13[[#This Row],[Total GGRF Funding Amount from this Program ($)]],0),0)</f>
        <v>0</v>
      </c>
      <c r="BP11" s="190">
        <f>IF(ISBLANK(Table13[[#This Row],[Project ID]]), 0, 1)</f>
        <v>0</v>
      </c>
      <c r="BQ11" s="2"/>
      <c r="BR11" s="2"/>
      <c r="BS11" s="2"/>
    </row>
    <row r="12" spans="1:71" hidden="1" x14ac:dyDescent="0.25">
      <c r="G12" s="2">
        <f>'Project Info'!D30</f>
        <v>0</v>
      </c>
      <c r="I12" s="7"/>
      <c r="J12" s="7"/>
      <c r="K12" s="7"/>
      <c r="L12" s="7">
        <f>'Project Info'!D39</f>
        <v>0</v>
      </c>
      <c r="M12" s="7"/>
      <c r="N12" s="2">
        <f>ROUND('Project Info'!D38,0)</f>
        <v>0</v>
      </c>
      <c r="O12" s="2">
        <f>ROUND('Project Info'!D35,0)</f>
        <v>0</v>
      </c>
      <c r="Q12" s="2">
        <f>ROUND('Project Info'!D37,0)</f>
        <v>0</v>
      </c>
      <c r="R12" s="7">
        <f>'Project Info'!D35</f>
        <v>0</v>
      </c>
      <c r="S12" s="8">
        <f>'Project Info'!D40</f>
        <v>0</v>
      </c>
      <c r="T12" s="8" t="e">
        <f>ROUND('Benefits Summary'!#REF!,0)</f>
        <v>#REF!</v>
      </c>
      <c r="U12" s="7">
        <f>'Project Info'!D40</f>
        <v>0</v>
      </c>
      <c r="AA12" s="8" t="e">
        <f>ROUND('Benefits Summary'!#REF!,0)</f>
        <v>#REF!</v>
      </c>
      <c r="AB12" s="8" t="e">
        <f>ROUND('Benefits Summary'!E38,0)</f>
        <v>#VALUE!</v>
      </c>
      <c r="AC12" s="8" t="e">
        <f>ROUND('Benefits Summary'!E37,0)</f>
        <v>#VALUE!</v>
      </c>
      <c r="AD12" s="8" t="e">
        <f>ROUND('Benefits Summary'!#REF!,0)</f>
        <v>#REF!</v>
      </c>
      <c r="AE12" s="8" t="e">
        <f>ROUND('Benefits Summary'!D38,0)</f>
        <v>#VALUE!</v>
      </c>
      <c r="AF12" s="8" t="e">
        <f>ROUND('Benefits Summary'!D37,0)</f>
        <v>#VALUE!</v>
      </c>
      <c r="AG12" s="8" t="e">
        <f>ROUND('Benefits Summary'!C33,0)</f>
        <v>#VALUE!</v>
      </c>
      <c r="AJ12" s="8">
        <f>ROUND('Benefits Summary'!C34,0)</f>
        <v>0</v>
      </c>
      <c r="AK12" s="8">
        <f>ROUND('Benefits Summary'!C34,0)</f>
        <v>0</v>
      </c>
      <c r="AL12" s="8" t="e">
        <f>ROUND('Benefits Summary'!C35,0)</f>
        <v>#VALUE!</v>
      </c>
      <c r="AM12" s="8" t="e">
        <f>ROUND(#REF!,0)</f>
        <v>#REF!</v>
      </c>
      <c r="AN12" s="8" t="e">
        <f>ROUND('Benefits Summary'!C36,0)</f>
        <v>#VALUE!</v>
      </c>
      <c r="AP12" s="191"/>
      <c r="AQ12" s="191"/>
      <c r="AR12" s="191"/>
      <c r="BC12" s="190">
        <f>IF(Table13[[#This Row],[Benefits Criteria Table
Step 1: Disadvantaged Community? (Y/N)]]="Yes",Table13[[#This Row],[Count]],0)</f>
        <v>0</v>
      </c>
      <c r="BD12" s="190">
        <f>IF(Table13[[#This Row],[Benefits Criteria Table
Step 1: Disadvantaged Community? (Y/N)]]="Yes",Table13[[#This Row],[Total GGRF Funding Amount from this Program ($)]],0)</f>
        <v>0</v>
      </c>
      <c r="BE12" s="190">
        <f>IF(Table13[[#This Row],[Benefits Criteria Table
Step 1: Low-income Community or Low-income Household? (Y/N)]]="Yes",Table13[[#This Row],[Count]],0)</f>
        <v>0</v>
      </c>
      <c r="BF12" s="190">
        <f>IF(Table13[[#This Row],[Benefits Criteria Table
Step 1: Low-income Community or Low-income Household? (Y/N)]]="Yes",Table13[[#This Row],[Total GGRF Funding Amount from this Program ($)]],0)</f>
        <v>0</v>
      </c>
      <c r="BG12" s="190">
        <f>IF(Table13[[#This Row],[Benefits Criteria Table
Step 1: Low-income 1/2-mile Buffer Region? (Y/N)]]="Yes",Table13[[#This Row],[Count]],0)</f>
        <v>0</v>
      </c>
      <c r="BH12" s="190">
        <f>IF(Table13[[#This Row],[Benefits Criteria Table
Step 1: Low-income 1/2-mile Buffer Region? (Y/N)]]="Yes",Table13[[#This Row],[Total GGRF Funding Amount from this Program ($)]],0)</f>
        <v>0</v>
      </c>
      <c r="BI12" s="2"/>
      <c r="BJ12" s="190" t="str">
        <f>IF(Table13[[#This Row],[Benefits Criteria Table
Step 1: Disadvantaged Community? (Y/N)]]="YES",IF(Table13[[#This Row],[Select a Priority Population]]="Disadvantaged Community",Table13[[#This Row],[Count]],0),"")</f>
        <v/>
      </c>
      <c r="BK12" s="190" t="str">
        <f>IF(Table13[[#This Row],[Benefits Criteria Table
Step 1: Disadvantaged Community? (Y/N)]]="YES",IF(Table13[[#This Row],[Select a Priority Population]]="Disadvantaged Community",Table13[[#This Row],[Qualifying Disadvantaged Community Benefit Amount ($)]],0),"")</f>
        <v/>
      </c>
      <c r="BL12" s="190">
        <f>IF(Table13[[#This Row],[Benefits Criteria Table
Step 1: Low-income Community or Low-income Household? (Y/N)]]="Yes",IF(Table13[[#This Row],[Select a Priority Population]]="Low-income Community",Table13[[#This Row],[Count]],0),0)</f>
        <v>0</v>
      </c>
      <c r="BM12" s="190">
        <f>IF(Table13[[#This Row],[Benefits Criteria Table
Step 1: Low-income Community or Low-income Household? (Y/N)]]="Yes",IF(Table13[[#This Row],[Select a Priority Population]]="Low-income Community",Table13[[#This Row],[Total GGRF Funding Amount from this Program ($)]],0),0)</f>
        <v>0</v>
      </c>
      <c r="BN12" s="190">
        <f>IF(Table13[[#This Row],[Benefits Criteria Table
Step 1: Low-income 1/2-mile Buffer Region? (Y/N)]]="Yes",IF(Table13[[#This Row],[Select a Priority Population]]="1/2 Mile Buffer Zone",Table13[[#This Row],[Count]],0),0)</f>
        <v>0</v>
      </c>
      <c r="BO12" s="190">
        <f>IF(Table13[[#This Row],[Benefits Criteria Table
Step 1: Low-income 1/2-mile Buffer Region? (Y/N)]]="Yes",IF(Table13[[#This Row],[Select a Priority Population]]="1/2 Mile Buffer Zone",Table13[[#This Row],[Total GGRF Funding Amount from this Program ($)]],0),0)</f>
        <v>0</v>
      </c>
      <c r="BP12" s="190">
        <f>IF(ISBLANK(Table13[[#This Row],[Project ID]]), 0, 1)</f>
        <v>0</v>
      </c>
      <c r="BQ12" s="2"/>
      <c r="BR12" s="2"/>
      <c r="BS12" s="2"/>
    </row>
    <row r="13" spans="1:71" hidden="1" x14ac:dyDescent="0.25">
      <c r="G13" s="2">
        <f>'Project Info'!D31</f>
        <v>0</v>
      </c>
      <c r="I13" s="7"/>
      <c r="J13" s="7"/>
      <c r="K13" s="7"/>
      <c r="L13" s="7">
        <f>'Project Info'!D40</f>
        <v>0</v>
      </c>
      <c r="M13" s="7"/>
      <c r="N13" s="2">
        <f>ROUND('Project Info'!D39,0)</f>
        <v>0</v>
      </c>
      <c r="O13" s="2">
        <f>ROUND('Project Info'!D36,0)</f>
        <v>0</v>
      </c>
      <c r="Q13" s="2">
        <f>ROUND('Project Info'!D38,0)</f>
        <v>0</v>
      </c>
      <c r="R13" s="7">
        <f>'Project Info'!D36</f>
        <v>0</v>
      </c>
      <c r="S13" s="8">
        <f>'Project Info'!D41</f>
        <v>0</v>
      </c>
      <c r="T13" s="8" t="e">
        <f>ROUND('Benefits Summary'!#REF!,0)</f>
        <v>#REF!</v>
      </c>
      <c r="U13" s="7">
        <f>'Project Info'!D41</f>
        <v>0</v>
      </c>
      <c r="AA13" s="8" t="e">
        <f>ROUND('Benefits Summary'!E37,0)</f>
        <v>#VALUE!</v>
      </c>
      <c r="AB13" s="8" t="e">
        <f>ROUND('Benefits Summary'!E39,0)</f>
        <v>#VALUE!</v>
      </c>
      <c r="AC13" s="8" t="e">
        <f>ROUND('Benefits Summary'!E38,0)</f>
        <v>#VALUE!</v>
      </c>
      <c r="AD13" s="8" t="e">
        <f>ROUND('Benefits Summary'!D37,0)</f>
        <v>#VALUE!</v>
      </c>
      <c r="AE13" s="8" t="e">
        <f>ROUND('Benefits Summary'!D39,0)</f>
        <v>#VALUE!</v>
      </c>
      <c r="AF13" s="8" t="e">
        <f>ROUND('Benefits Summary'!D38,0)</f>
        <v>#VALUE!</v>
      </c>
      <c r="AG13" s="8">
        <f>ROUND('Benefits Summary'!C34,0)</f>
        <v>0</v>
      </c>
      <c r="AJ13" s="8" t="e">
        <f>ROUND('Benefits Summary'!C35,0)</f>
        <v>#VALUE!</v>
      </c>
      <c r="AK13" s="8" t="e">
        <f>ROUND('Benefits Summary'!C35,0)</f>
        <v>#VALUE!</v>
      </c>
      <c r="AL13" s="8" t="e">
        <f>ROUND('Benefits Summary'!C36,0)</f>
        <v>#VALUE!</v>
      </c>
      <c r="AM13" s="8" t="e">
        <f>ROUND('Benefits Summary'!#REF!,0)</f>
        <v>#REF!</v>
      </c>
      <c r="AN13" s="8" t="e">
        <f>ROUND(#REF!,0)</f>
        <v>#REF!</v>
      </c>
      <c r="AP13" s="191"/>
      <c r="AQ13" s="191"/>
      <c r="AR13" s="191"/>
      <c r="BC13" s="190">
        <f>IF(Table13[[#This Row],[Benefits Criteria Table
Step 1: Disadvantaged Community? (Y/N)]]="Yes",Table13[[#This Row],[Count]],0)</f>
        <v>0</v>
      </c>
      <c r="BD13" s="190">
        <f>IF(Table13[[#This Row],[Benefits Criteria Table
Step 1: Disadvantaged Community? (Y/N)]]="Yes",Table13[[#This Row],[Total GGRF Funding Amount from this Program ($)]],0)</f>
        <v>0</v>
      </c>
      <c r="BE13" s="190">
        <f>IF(Table13[[#This Row],[Benefits Criteria Table
Step 1: Low-income Community or Low-income Household? (Y/N)]]="Yes",Table13[[#This Row],[Count]],0)</f>
        <v>0</v>
      </c>
      <c r="BF13" s="190">
        <f>IF(Table13[[#This Row],[Benefits Criteria Table
Step 1: Low-income Community or Low-income Household? (Y/N)]]="Yes",Table13[[#This Row],[Total GGRF Funding Amount from this Program ($)]],0)</f>
        <v>0</v>
      </c>
      <c r="BG13" s="190">
        <f>IF(Table13[[#This Row],[Benefits Criteria Table
Step 1: Low-income 1/2-mile Buffer Region? (Y/N)]]="Yes",Table13[[#This Row],[Count]],0)</f>
        <v>0</v>
      </c>
      <c r="BH13" s="190">
        <f>IF(Table13[[#This Row],[Benefits Criteria Table
Step 1: Low-income 1/2-mile Buffer Region? (Y/N)]]="Yes",Table13[[#This Row],[Total GGRF Funding Amount from this Program ($)]],0)</f>
        <v>0</v>
      </c>
      <c r="BI13" s="2"/>
      <c r="BJ13" s="190" t="str">
        <f>IF(Table13[[#This Row],[Benefits Criteria Table
Step 1: Disadvantaged Community? (Y/N)]]="YES",IF(Table13[[#This Row],[Select a Priority Population]]="Disadvantaged Community",Table13[[#This Row],[Count]],0),"")</f>
        <v/>
      </c>
      <c r="BK13" s="190" t="str">
        <f>IF(Table13[[#This Row],[Benefits Criteria Table
Step 1: Disadvantaged Community? (Y/N)]]="YES",IF(Table13[[#This Row],[Select a Priority Population]]="Disadvantaged Community",Table13[[#This Row],[Qualifying Disadvantaged Community Benefit Amount ($)]],0),"")</f>
        <v/>
      </c>
      <c r="BL13" s="190">
        <f>IF(Table13[[#This Row],[Benefits Criteria Table
Step 1: Low-income Community or Low-income Household? (Y/N)]]="Yes",IF(Table13[[#This Row],[Select a Priority Population]]="Low-income Community",Table13[[#This Row],[Count]],0),0)</f>
        <v>0</v>
      </c>
      <c r="BM13" s="190">
        <f>IF(Table13[[#This Row],[Benefits Criteria Table
Step 1: Low-income Community or Low-income Household? (Y/N)]]="Yes",IF(Table13[[#This Row],[Select a Priority Population]]="Low-income Community",Table13[[#This Row],[Total GGRF Funding Amount from this Program ($)]],0),0)</f>
        <v>0</v>
      </c>
      <c r="BN13" s="190">
        <f>IF(Table13[[#This Row],[Benefits Criteria Table
Step 1: Low-income 1/2-mile Buffer Region? (Y/N)]]="Yes",IF(Table13[[#This Row],[Select a Priority Population]]="1/2 Mile Buffer Zone",Table13[[#This Row],[Count]],0),0)</f>
        <v>0</v>
      </c>
      <c r="BO13" s="190">
        <f>IF(Table13[[#This Row],[Benefits Criteria Table
Step 1: Low-income 1/2-mile Buffer Region? (Y/N)]]="Yes",IF(Table13[[#This Row],[Select a Priority Population]]="1/2 Mile Buffer Zone",Table13[[#This Row],[Total GGRF Funding Amount from this Program ($)]],0),0)</f>
        <v>0</v>
      </c>
      <c r="BP13" s="190">
        <f>IF(ISBLANK(Table13[[#This Row],[Project ID]]), 0, 1)</f>
        <v>0</v>
      </c>
      <c r="BQ13" s="2"/>
      <c r="BR13" s="2"/>
      <c r="BS13" s="2"/>
    </row>
    <row r="14" spans="1:71" hidden="1" x14ac:dyDescent="0.25">
      <c r="G14" s="2" t="e">
        <f>'Project Info'!#REF!</f>
        <v>#REF!</v>
      </c>
      <c r="I14" s="7"/>
      <c r="J14" s="7"/>
      <c r="K14" s="7"/>
      <c r="L14" s="7">
        <f>'Project Info'!D41</f>
        <v>0</v>
      </c>
      <c r="M14" s="7"/>
      <c r="N14" s="2">
        <f>ROUND('Project Info'!D40,0)</f>
        <v>0</v>
      </c>
      <c r="O14" s="2">
        <f>ROUND('Project Info'!D37,0)</f>
        <v>0</v>
      </c>
      <c r="Q14" s="2">
        <f>ROUND('Project Info'!D39,0)</f>
        <v>0</v>
      </c>
      <c r="R14" s="7">
        <f>'Project Info'!D37</f>
        <v>0</v>
      </c>
      <c r="S14" s="8">
        <f>'Project Info'!D42</f>
        <v>0</v>
      </c>
      <c r="T14" s="8" t="e">
        <f>ROUND('Benefits Summary'!#REF!,0)</f>
        <v>#REF!</v>
      </c>
      <c r="U14" s="7">
        <f>'Project Info'!D42</f>
        <v>0</v>
      </c>
      <c r="AA14" s="8" t="e">
        <f>ROUND('Benefits Summary'!E38,0)</f>
        <v>#VALUE!</v>
      </c>
      <c r="AB14" s="8" t="e">
        <f>ROUND('Benefits Summary'!E40,0)</f>
        <v>#VALUE!</v>
      </c>
      <c r="AC14" s="8" t="e">
        <f>ROUND('Benefits Summary'!E39,0)</f>
        <v>#VALUE!</v>
      </c>
      <c r="AD14" s="8" t="e">
        <f>ROUND('Benefits Summary'!D38,0)</f>
        <v>#VALUE!</v>
      </c>
      <c r="AE14" s="8" t="e">
        <f>ROUND('Benefits Summary'!D40,0)</f>
        <v>#VALUE!</v>
      </c>
      <c r="AF14" s="8" t="e">
        <f>ROUND('Benefits Summary'!D39,0)</f>
        <v>#VALUE!</v>
      </c>
      <c r="AG14" s="8" t="e">
        <f>ROUND('Benefits Summary'!C35,0)</f>
        <v>#VALUE!</v>
      </c>
      <c r="AJ14" s="8" t="e">
        <f>ROUND('Benefits Summary'!C36,0)</f>
        <v>#VALUE!</v>
      </c>
      <c r="AK14" s="8" t="e">
        <f>ROUND('Benefits Summary'!C36,0)</f>
        <v>#VALUE!</v>
      </c>
      <c r="AL14" s="8" t="e">
        <f>ROUND(#REF!,0)</f>
        <v>#REF!</v>
      </c>
      <c r="AM14" s="8" t="e">
        <f>ROUND('Benefits Summary'!#REF!,0)</f>
        <v>#REF!</v>
      </c>
      <c r="AN14" s="8" t="e">
        <f>ROUND('Benefits Summary'!#REF!,0)</f>
        <v>#REF!</v>
      </c>
      <c r="AP14" s="191"/>
      <c r="AQ14" s="191"/>
      <c r="AR14" s="191"/>
      <c r="BC14" s="190">
        <f>IF(Table13[[#This Row],[Benefits Criteria Table
Step 1: Disadvantaged Community? (Y/N)]]="Yes",Table13[[#This Row],[Count]],0)</f>
        <v>0</v>
      </c>
      <c r="BD14" s="190">
        <f>IF(Table13[[#This Row],[Benefits Criteria Table
Step 1: Disadvantaged Community? (Y/N)]]="Yes",Table13[[#This Row],[Total GGRF Funding Amount from this Program ($)]],0)</f>
        <v>0</v>
      </c>
      <c r="BE14" s="190">
        <f>IF(Table13[[#This Row],[Benefits Criteria Table
Step 1: Low-income Community or Low-income Household? (Y/N)]]="Yes",Table13[[#This Row],[Count]],0)</f>
        <v>0</v>
      </c>
      <c r="BF14" s="190">
        <f>IF(Table13[[#This Row],[Benefits Criteria Table
Step 1: Low-income Community or Low-income Household? (Y/N)]]="Yes",Table13[[#This Row],[Total GGRF Funding Amount from this Program ($)]],0)</f>
        <v>0</v>
      </c>
      <c r="BG14" s="190">
        <f>IF(Table13[[#This Row],[Benefits Criteria Table
Step 1: Low-income 1/2-mile Buffer Region? (Y/N)]]="Yes",Table13[[#This Row],[Count]],0)</f>
        <v>0</v>
      </c>
      <c r="BH14" s="190">
        <f>IF(Table13[[#This Row],[Benefits Criteria Table
Step 1: Low-income 1/2-mile Buffer Region? (Y/N)]]="Yes",Table13[[#This Row],[Total GGRF Funding Amount from this Program ($)]],0)</f>
        <v>0</v>
      </c>
      <c r="BI14" s="2"/>
      <c r="BJ14" s="190" t="str">
        <f>IF(Table13[[#This Row],[Benefits Criteria Table
Step 1: Disadvantaged Community? (Y/N)]]="YES",IF(Table13[[#This Row],[Select a Priority Population]]="Disadvantaged Community",Table13[[#This Row],[Count]],0),"")</f>
        <v/>
      </c>
      <c r="BK14" s="190" t="str">
        <f>IF(Table13[[#This Row],[Benefits Criteria Table
Step 1: Disadvantaged Community? (Y/N)]]="YES",IF(Table13[[#This Row],[Select a Priority Population]]="Disadvantaged Community",Table13[[#This Row],[Qualifying Disadvantaged Community Benefit Amount ($)]],0),"")</f>
        <v/>
      </c>
      <c r="BL14" s="190">
        <f>IF(Table13[[#This Row],[Benefits Criteria Table
Step 1: Low-income Community or Low-income Household? (Y/N)]]="Yes",IF(Table13[[#This Row],[Select a Priority Population]]="Low-income Community",Table13[[#This Row],[Count]],0),0)</f>
        <v>0</v>
      </c>
      <c r="BM14" s="190">
        <f>IF(Table13[[#This Row],[Benefits Criteria Table
Step 1: Low-income Community or Low-income Household? (Y/N)]]="Yes",IF(Table13[[#This Row],[Select a Priority Population]]="Low-income Community",Table13[[#This Row],[Total GGRF Funding Amount from this Program ($)]],0),0)</f>
        <v>0</v>
      </c>
      <c r="BN14" s="190">
        <f>IF(Table13[[#This Row],[Benefits Criteria Table
Step 1: Low-income 1/2-mile Buffer Region? (Y/N)]]="Yes",IF(Table13[[#This Row],[Select a Priority Population]]="1/2 Mile Buffer Zone",Table13[[#This Row],[Count]],0),0)</f>
        <v>0</v>
      </c>
      <c r="BO14" s="190">
        <f>IF(Table13[[#This Row],[Benefits Criteria Table
Step 1: Low-income 1/2-mile Buffer Region? (Y/N)]]="Yes",IF(Table13[[#This Row],[Select a Priority Population]]="1/2 Mile Buffer Zone",Table13[[#This Row],[Total GGRF Funding Amount from this Program ($)]],0),0)</f>
        <v>0</v>
      </c>
      <c r="BP14" s="190">
        <f>IF(ISBLANK(Table13[[#This Row],[Project ID]]), 0, 1)</f>
        <v>0</v>
      </c>
      <c r="BQ14" s="2"/>
      <c r="BR14" s="2"/>
      <c r="BS14" s="2"/>
    </row>
    <row r="15" spans="1:71" hidden="1" x14ac:dyDescent="0.25">
      <c r="G15" s="2">
        <f>'Project Info'!D32</f>
        <v>0</v>
      </c>
      <c r="I15" s="7"/>
      <c r="J15" s="7"/>
      <c r="K15" s="7"/>
      <c r="L15" s="7">
        <f>'Project Info'!D42</f>
        <v>0</v>
      </c>
      <c r="M15" s="7"/>
      <c r="N15" s="2">
        <f>ROUND('Project Info'!D41,0)</f>
        <v>0</v>
      </c>
      <c r="O15" s="2">
        <f>ROUND('Project Info'!D38,0)</f>
        <v>0</v>
      </c>
      <c r="Q15" s="2">
        <f>ROUND('Project Info'!D40,0)</f>
        <v>0</v>
      </c>
      <c r="R15" s="7">
        <f>'Project Info'!D38</f>
        <v>0</v>
      </c>
      <c r="S15" s="8">
        <f>'Project Info'!D43</f>
        <v>0</v>
      </c>
      <c r="T15" s="8" t="e">
        <f>ROUND('Benefits Summary'!#REF!,0)</f>
        <v>#REF!</v>
      </c>
      <c r="U15" s="7">
        <f>'Project Info'!D43</f>
        <v>0</v>
      </c>
      <c r="AA15" s="8" t="e">
        <f>ROUND('Benefits Summary'!E39,0)</f>
        <v>#VALUE!</v>
      </c>
      <c r="AB15" s="8" t="e">
        <f>ROUND('Benefits Summary'!E41,0)</f>
        <v>#VALUE!</v>
      </c>
      <c r="AC15" s="8" t="e">
        <f>ROUND('Benefits Summary'!E40,0)</f>
        <v>#VALUE!</v>
      </c>
      <c r="AD15" s="8" t="e">
        <f>ROUND('Benefits Summary'!D39,0)</f>
        <v>#VALUE!</v>
      </c>
      <c r="AE15" s="8" t="e">
        <f>ROUND('Benefits Summary'!D41,0)</f>
        <v>#VALUE!</v>
      </c>
      <c r="AF15" s="8" t="e">
        <f>ROUND('Benefits Summary'!D40,0)</f>
        <v>#VALUE!</v>
      </c>
      <c r="AG15" s="8" t="e">
        <f>ROUND('Benefits Summary'!C36,0)</f>
        <v>#VALUE!</v>
      </c>
      <c r="AJ15" s="8" t="e">
        <f>ROUND(#REF!,0)</f>
        <v>#REF!</v>
      </c>
      <c r="AK15" s="8" t="e">
        <f>ROUND(#REF!,0)</f>
        <v>#REF!</v>
      </c>
      <c r="AL15" s="8" t="e">
        <f>ROUND('Benefits Summary'!#REF!,0)</f>
        <v>#REF!</v>
      </c>
      <c r="AM15" s="8" t="e">
        <f>ROUND('Benefits Summary'!C37,0)</f>
        <v>#VALUE!</v>
      </c>
      <c r="AN15" s="8" t="e">
        <f>ROUND('Benefits Summary'!#REF!,0)</f>
        <v>#REF!</v>
      </c>
      <c r="AP15" s="191"/>
      <c r="AQ15" s="191"/>
      <c r="AR15" s="191"/>
      <c r="BC15" s="190">
        <f>IF(Table13[[#This Row],[Benefits Criteria Table
Step 1: Disadvantaged Community? (Y/N)]]="Yes",Table13[[#This Row],[Count]],0)</f>
        <v>0</v>
      </c>
      <c r="BD15" s="190">
        <f>IF(Table13[[#This Row],[Benefits Criteria Table
Step 1: Disadvantaged Community? (Y/N)]]="Yes",Table13[[#This Row],[Total GGRF Funding Amount from this Program ($)]],0)</f>
        <v>0</v>
      </c>
      <c r="BE15" s="190">
        <f>IF(Table13[[#This Row],[Benefits Criteria Table
Step 1: Low-income Community or Low-income Household? (Y/N)]]="Yes",Table13[[#This Row],[Count]],0)</f>
        <v>0</v>
      </c>
      <c r="BF15" s="190">
        <f>IF(Table13[[#This Row],[Benefits Criteria Table
Step 1: Low-income Community or Low-income Household? (Y/N)]]="Yes",Table13[[#This Row],[Total GGRF Funding Amount from this Program ($)]],0)</f>
        <v>0</v>
      </c>
      <c r="BG15" s="190">
        <f>IF(Table13[[#This Row],[Benefits Criteria Table
Step 1: Low-income 1/2-mile Buffer Region? (Y/N)]]="Yes",Table13[[#This Row],[Count]],0)</f>
        <v>0</v>
      </c>
      <c r="BH15" s="190">
        <f>IF(Table13[[#This Row],[Benefits Criteria Table
Step 1: Low-income 1/2-mile Buffer Region? (Y/N)]]="Yes",Table13[[#This Row],[Total GGRF Funding Amount from this Program ($)]],0)</f>
        <v>0</v>
      </c>
      <c r="BI15" s="2"/>
      <c r="BJ15" s="190" t="str">
        <f>IF(Table13[[#This Row],[Benefits Criteria Table
Step 1: Disadvantaged Community? (Y/N)]]="YES",IF(Table13[[#This Row],[Select a Priority Population]]="Disadvantaged Community",Table13[[#This Row],[Count]],0),"")</f>
        <v/>
      </c>
      <c r="BK15" s="190" t="str">
        <f>IF(Table13[[#This Row],[Benefits Criteria Table
Step 1: Disadvantaged Community? (Y/N)]]="YES",IF(Table13[[#This Row],[Select a Priority Population]]="Disadvantaged Community",Table13[[#This Row],[Qualifying Disadvantaged Community Benefit Amount ($)]],0),"")</f>
        <v/>
      </c>
      <c r="BL15" s="190">
        <f>IF(Table13[[#This Row],[Benefits Criteria Table
Step 1: Low-income Community or Low-income Household? (Y/N)]]="Yes",IF(Table13[[#This Row],[Select a Priority Population]]="Low-income Community",Table13[[#This Row],[Count]],0),0)</f>
        <v>0</v>
      </c>
      <c r="BM15" s="190">
        <f>IF(Table13[[#This Row],[Benefits Criteria Table
Step 1: Low-income Community or Low-income Household? (Y/N)]]="Yes",IF(Table13[[#This Row],[Select a Priority Population]]="Low-income Community",Table13[[#This Row],[Total GGRF Funding Amount from this Program ($)]],0),0)</f>
        <v>0</v>
      </c>
      <c r="BN15" s="190">
        <f>IF(Table13[[#This Row],[Benefits Criteria Table
Step 1: Low-income 1/2-mile Buffer Region? (Y/N)]]="Yes",IF(Table13[[#This Row],[Select a Priority Population]]="1/2 Mile Buffer Zone",Table13[[#This Row],[Count]],0),0)</f>
        <v>0</v>
      </c>
      <c r="BO15" s="190">
        <f>IF(Table13[[#This Row],[Benefits Criteria Table
Step 1: Low-income 1/2-mile Buffer Region? (Y/N)]]="Yes",IF(Table13[[#This Row],[Select a Priority Population]]="1/2 Mile Buffer Zone",Table13[[#This Row],[Total GGRF Funding Amount from this Program ($)]],0),0)</f>
        <v>0</v>
      </c>
      <c r="BP15" s="190">
        <f>IF(ISBLANK(Table13[[#This Row],[Project ID]]), 0, 1)</f>
        <v>0</v>
      </c>
      <c r="BQ15" s="2"/>
      <c r="BR15" s="2"/>
      <c r="BS15" s="2"/>
    </row>
    <row r="16" spans="1:71" hidden="1" x14ac:dyDescent="0.25">
      <c r="G16" s="2">
        <f>'Project Info'!D33</f>
        <v>0</v>
      </c>
      <c r="I16" s="7"/>
      <c r="J16" s="7"/>
      <c r="K16" s="7"/>
      <c r="L16" s="7">
        <f>'Project Info'!D43</f>
        <v>0</v>
      </c>
      <c r="M16" s="7"/>
      <c r="N16" s="2">
        <f>ROUND('Project Info'!D42,0)</f>
        <v>0</v>
      </c>
      <c r="O16" s="2">
        <f>ROUND('Project Info'!D39,0)</f>
        <v>0</v>
      </c>
      <c r="Q16" s="2">
        <f>ROUND('Project Info'!D41,0)</f>
        <v>0</v>
      </c>
      <c r="R16" s="7">
        <f>'Project Info'!D39</f>
        <v>0</v>
      </c>
      <c r="S16" s="8">
        <f>'Project Info'!D44</f>
        <v>0</v>
      </c>
      <c r="T16" s="8" t="e">
        <f>ROUND('Benefits Summary'!#REF!,0)</f>
        <v>#REF!</v>
      </c>
      <c r="U16" s="7">
        <f>'Project Info'!D44</f>
        <v>0</v>
      </c>
      <c r="AA16" s="8" t="e">
        <f>ROUND('Benefits Summary'!E40,0)</f>
        <v>#VALUE!</v>
      </c>
      <c r="AB16" s="8">
        <f>ROUND('Benefits Summary'!E42,0)</f>
        <v>0</v>
      </c>
      <c r="AC16" s="8" t="e">
        <f>ROUND('Benefits Summary'!E41,0)</f>
        <v>#VALUE!</v>
      </c>
      <c r="AD16" s="8" t="e">
        <f>ROUND('Benefits Summary'!D40,0)</f>
        <v>#VALUE!</v>
      </c>
      <c r="AE16" s="8">
        <f>ROUND('Benefits Summary'!D42,0)</f>
        <v>0</v>
      </c>
      <c r="AF16" s="8" t="e">
        <f>ROUND('Benefits Summary'!D41,0)</f>
        <v>#VALUE!</v>
      </c>
      <c r="AG16" s="8" t="e">
        <f>ROUND(#REF!,0)</f>
        <v>#REF!</v>
      </c>
      <c r="AJ16" s="8" t="e">
        <f>ROUND('Benefits Summary'!#REF!,0)</f>
        <v>#REF!</v>
      </c>
      <c r="AK16" s="8" t="e">
        <f>ROUND('Benefits Summary'!#REF!,0)</f>
        <v>#REF!</v>
      </c>
      <c r="AL16" s="8" t="e">
        <f>ROUND('Benefits Summary'!#REF!,0)</f>
        <v>#REF!</v>
      </c>
      <c r="AM16" s="8" t="e">
        <f>ROUND('Benefits Summary'!C38,0)</f>
        <v>#VALUE!</v>
      </c>
      <c r="AN16" s="8" t="e">
        <f>ROUND('Benefits Summary'!C37,0)</f>
        <v>#VALUE!</v>
      </c>
      <c r="AP16" s="191"/>
      <c r="AQ16" s="191"/>
      <c r="AR16" s="191"/>
      <c r="BC16" s="190">
        <f>IF(Table13[[#This Row],[Benefits Criteria Table
Step 1: Disadvantaged Community? (Y/N)]]="Yes",Table13[[#This Row],[Count]],0)</f>
        <v>0</v>
      </c>
      <c r="BD16" s="190">
        <f>IF(Table13[[#This Row],[Benefits Criteria Table
Step 1: Disadvantaged Community? (Y/N)]]="Yes",Table13[[#This Row],[Total GGRF Funding Amount from this Program ($)]],0)</f>
        <v>0</v>
      </c>
      <c r="BE16" s="190">
        <f>IF(Table13[[#This Row],[Benefits Criteria Table
Step 1: Low-income Community or Low-income Household? (Y/N)]]="Yes",Table13[[#This Row],[Count]],0)</f>
        <v>0</v>
      </c>
      <c r="BF16" s="190">
        <f>IF(Table13[[#This Row],[Benefits Criteria Table
Step 1: Low-income Community or Low-income Household? (Y/N)]]="Yes",Table13[[#This Row],[Total GGRF Funding Amount from this Program ($)]],0)</f>
        <v>0</v>
      </c>
      <c r="BG16" s="190">
        <f>IF(Table13[[#This Row],[Benefits Criteria Table
Step 1: Low-income 1/2-mile Buffer Region? (Y/N)]]="Yes",Table13[[#This Row],[Count]],0)</f>
        <v>0</v>
      </c>
      <c r="BH16" s="190">
        <f>IF(Table13[[#This Row],[Benefits Criteria Table
Step 1: Low-income 1/2-mile Buffer Region? (Y/N)]]="Yes",Table13[[#This Row],[Total GGRF Funding Amount from this Program ($)]],0)</f>
        <v>0</v>
      </c>
      <c r="BI16" s="2"/>
      <c r="BJ16" s="190" t="str">
        <f>IF(Table13[[#This Row],[Benefits Criteria Table
Step 1: Disadvantaged Community? (Y/N)]]="YES",IF(Table13[[#This Row],[Select a Priority Population]]="Disadvantaged Community",Table13[[#This Row],[Count]],0),"")</f>
        <v/>
      </c>
      <c r="BK16" s="190" t="str">
        <f>IF(Table13[[#This Row],[Benefits Criteria Table
Step 1: Disadvantaged Community? (Y/N)]]="YES",IF(Table13[[#This Row],[Select a Priority Population]]="Disadvantaged Community",Table13[[#This Row],[Qualifying Disadvantaged Community Benefit Amount ($)]],0),"")</f>
        <v/>
      </c>
      <c r="BL16" s="190">
        <f>IF(Table13[[#This Row],[Benefits Criteria Table
Step 1: Low-income Community or Low-income Household? (Y/N)]]="Yes",IF(Table13[[#This Row],[Select a Priority Population]]="Low-income Community",Table13[[#This Row],[Count]],0),0)</f>
        <v>0</v>
      </c>
      <c r="BM16" s="190">
        <f>IF(Table13[[#This Row],[Benefits Criteria Table
Step 1: Low-income Community or Low-income Household? (Y/N)]]="Yes",IF(Table13[[#This Row],[Select a Priority Population]]="Low-income Community",Table13[[#This Row],[Total GGRF Funding Amount from this Program ($)]],0),0)</f>
        <v>0</v>
      </c>
      <c r="BN16" s="190">
        <f>IF(Table13[[#This Row],[Benefits Criteria Table
Step 1: Low-income 1/2-mile Buffer Region? (Y/N)]]="Yes",IF(Table13[[#This Row],[Select a Priority Population]]="1/2 Mile Buffer Zone",Table13[[#This Row],[Count]],0),0)</f>
        <v>0</v>
      </c>
      <c r="BO16" s="190">
        <f>IF(Table13[[#This Row],[Benefits Criteria Table
Step 1: Low-income 1/2-mile Buffer Region? (Y/N)]]="Yes",IF(Table13[[#This Row],[Select a Priority Population]]="1/2 Mile Buffer Zone",Table13[[#This Row],[Total GGRF Funding Amount from this Program ($)]],0),0)</f>
        <v>0</v>
      </c>
      <c r="BP16" s="190">
        <f>IF(ISBLANK(Table13[[#This Row],[Project ID]]), 0, 1)</f>
        <v>0</v>
      </c>
      <c r="BQ16" s="2"/>
      <c r="BR16" s="2"/>
      <c r="BS16" s="2"/>
    </row>
    <row r="17" spans="7:71" hidden="1" x14ac:dyDescent="0.25">
      <c r="G17" s="2">
        <f>'Project Info'!D34</f>
        <v>0</v>
      </c>
      <c r="I17" s="7"/>
      <c r="J17" s="7"/>
      <c r="K17" s="7"/>
      <c r="L17" s="7">
        <f>'Project Info'!D44</f>
        <v>0</v>
      </c>
      <c r="M17" s="7"/>
      <c r="N17" s="2">
        <f>ROUND('Project Info'!D43,0)</f>
        <v>0</v>
      </c>
      <c r="O17" s="2">
        <f>ROUND('Project Info'!D40,0)</f>
        <v>0</v>
      </c>
      <c r="Q17" s="2">
        <f>ROUND('Project Info'!D42,0)</f>
        <v>0</v>
      </c>
      <c r="R17" s="7">
        <f>'Project Info'!D40</f>
        <v>0</v>
      </c>
      <c r="S17" s="8">
        <f>'Project Info'!D45</f>
        <v>0</v>
      </c>
      <c r="T17" s="8" t="e">
        <f>ROUND('Benefits Summary'!#REF!,0)</f>
        <v>#REF!</v>
      </c>
      <c r="U17" s="7">
        <f>'Project Info'!D45</f>
        <v>0</v>
      </c>
      <c r="AA17" s="8" t="e">
        <f>ROUND('Benefits Summary'!E41,0)</f>
        <v>#VALUE!</v>
      </c>
      <c r="AB17" s="8" t="e">
        <f>ROUND(#REF!,0)</f>
        <v>#REF!</v>
      </c>
      <c r="AC17" s="8">
        <f>ROUND('Benefits Summary'!E42,0)</f>
        <v>0</v>
      </c>
      <c r="AD17" s="8" t="e">
        <f>ROUND('Benefits Summary'!D41,0)</f>
        <v>#VALUE!</v>
      </c>
      <c r="AE17" s="8" t="e">
        <f>ROUND(#REF!,0)</f>
        <v>#REF!</v>
      </c>
      <c r="AF17" s="8">
        <f>ROUND('Benefits Summary'!D42,0)</f>
        <v>0</v>
      </c>
      <c r="AG17" s="8" t="e">
        <f>ROUND('Benefits Summary'!#REF!,0)</f>
        <v>#REF!</v>
      </c>
      <c r="AJ17" s="8" t="e">
        <f>ROUND('Benefits Summary'!#REF!,0)</f>
        <v>#REF!</v>
      </c>
      <c r="AK17" s="8" t="e">
        <f>ROUND('Benefits Summary'!#REF!,0)</f>
        <v>#REF!</v>
      </c>
      <c r="AL17" s="8" t="e">
        <f>ROUND('Benefits Summary'!C37,0)</f>
        <v>#VALUE!</v>
      </c>
      <c r="AM17" s="8" t="e">
        <f>ROUND('Benefits Summary'!C39,0)</f>
        <v>#VALUE!</v>
      </c>
      <c r="AN17" s="8" t="e">
        <f>ROUND('Benefits Summary'!C38,0)</f>
        <v>#VALUE!</v>
      </c>
      <c r="AP17" s="191"/>
      <c r="AQ17" s="191"/>
      <c r="AR17" s="191"/>
      <c r="BC17" s="190">
        <f>IF(Table13[[#This Row],[Benefits Criteria Table
Step 1: Disadvantaged Community? (Y/N)]]="Yes",Table13[[#This Row],[Count]],0)</f>
        <v>0</v>
      </c>
      <c r="BD17" s="190">
        <f>IF(Table13[[#This Row],[Benefits Criteria Table
Step 1: Disadvantaged Community? (Y/N)]]="Yes",Table13[[#This Row],[Total GGRF Funding Amount from this Program ($)]],0)</f>
        <v>0</v>
      </c>
      <c r="BE17" s="190">
        <f>IF(Table13[[#This Row],[Benefits Criteria Table
Step 1: Low-income Community or Low-income Household? (Y/N)]]="Yes",Table13[[#This Row],[Count]],0)</f>
        <v>0</v>
      </c>
      <c r="BF17" s="190">
        <f>IF(Table13[[#This Row],[Benefits Criteria Table
Step 1: Low-income Community or Low-income Household? (Y/N)]]="Yes",Table13[[#This Row],[Total GGRF Funding Amount from this Program ($)]],0)</f>
        <v>0</v>
      </c>
      <c r="BG17" s="190">
        <f>IF(Table13[[#This Row],[Benefits Criteria Table
Step 1: Low-income 1/2-mile Buffer Region? (Y/N)]]="Yes",Table13[[#This Row],[Count]],0)</f>
        <v>0</v>
      </c>
      <c r="BH17" s="190">
        <f>IF(Table13[[#This Row],[Benefits Criteria Table
Step 1: Low-income 1/2-mile Buffer Region? (Y/N)]]="Yes",Table13[[#This Row],[Total GGRF Funding Amount from this Program ($)]],0)</f>
        <v>0</v>
      </c>
      <c r="BI17" s="2"/>
      <c r="BJ17" s="190" t="str">
        <f>IF(Table13[[#This Row],[Benefits Criteria Table
Step 1: Disadvantaged Community? (Y/N)]]="YES",IF(Table13[[#This Row],[Select a Priority Population]]="Disadvantaged Community",Table13[[#This Row],[Count]],0),"")</f>
        <v/>
      </c>
      <c r="BK17" s="190" t="str">
        <f>IF(Table13[[#This Row],[Benefits Criteria Table
Step 1: Disadvantaged Community? (Y/N)]]="YES",IF(Table13[[#This Row],[Select a Priority Population]]="Disadvantaged Community",Table13[[#This Row],[Qualifying Disadvantaged Community Benefit Amount ($)]],0),"")</f>
        <v/>
      </c>
      <c r="BL17" s="190">
        <f>IF(Table13[[#This Row],[Benefits Criteria Table
Step 1: Low-income Community or Low-income Household? (Y/N)]]="Yes",IF(Table13[[#This Row],[Select a Priority Population]]="Low-income Community",Table13[[#This Row],[Count]],0),0)</f>
        <v>0</v>
      </c>
      <c r="BM17" s="190">
        <f>IF(Table13[[#This Row],[Benefits Criteria Table
Step 1: Low-income Community or Low-income Household? (Y/N)]]="Yes",IF(Table13[[#This Row],[Select a Priority Population]]="Low-income Community",Table13[[#This Row],[Total GGRF Funding Amount from this Program ($)]],0),0)</f>
        <v>0</v>
      </c>
      <c r="BN17" s="190">
        <f>IF(Table13[[#This Row],[Benefits Criteria Table
Step 1: Low-income 1/2-mile Buffer Region? (Y/N)]]="Yes",IF(Table13[[#This Row],[Select a Priority Population]]="1/2 Mile Buffer Zone",Table13[[#This Row],[Count]],0),0)</f>
        <v>0</v>
      </c>
      <c r="BO17" s="190">
        <f>IF(Table13[[#This Row],[Benefits Criteria Table
Step 1: Low-income 1/2-mile Buffer Region? (Y/N)]]="Yes",IF(Table13[[#This Row],[Select a Priority Population]]="1/2 Mile Buffer Zone",Table13[[#This Row],[Total GGRF Funding Amount from this Program ($)]],0),0)</f>
        <v>0</v>
      </c>
      <c r="BP17" s="190">
        <f>IF(ISBLANK(Table13[[#This Row],[Project ID]]), 0, 1)</f>
        <v>0</v>
      </c>
      <c r="BQ17" s="2"/>
      <c r="BR17" s="2"/>
      <c r="BS17" s="2"/>
    </row>
    <row r="18" spans="7:71" hidden="1" x14ac:dyDescent="0.25">
      <c r="G18" s="2">
        <f>'Project Info'!D35</f>
        <v>0</v>
      </c>
      <c r="I18" s="7"/>
      <c r="J18" s="7"/>
      <c r="K18" s="7"/>
      <c r="L18" s="7">
        <f>'Project Info'!D45</f>
        <v>0</v>
      </c>
      <c r="M18" s="7"/>
      <c r="N18" s="2">
        <f>ROUND('Project Info'!D44,0)</f>
        <v>0</v>
      </c>
      <c r="O18" s="2">
        <f>ROUND('Project Info'!D41,0)</f>
        <v>0</v>
      </c>
      <c r="Q18" s="2">
        <f>ROUND('Project Info'!D43,0)</f>
        <v>0</v>
      </c>
      <c r="R18" s="7">
        <f>'Project Info'!D41</f>
        <v>0</v>
      </c>
      <c r="S18" s="8">
        <f>'Project Info'!D46</f>
        <v>0</v>
      </c>
      <c r="T18" s="8" t="e">
        <f>ROUND('Benefits Summary'!#REF!,0)</f>
        <v>#REF!</v>
      </c>
      <c r="U18" s="7">
        <f>'Project Info'!D46</f>
        <v>0</v>
      </c>
      <c r="AA18" s="8">
        <f>ROUND('Benefits Summary'!E42,0)</f>
        <v>0</v>
      </c>
      <c r="AB18" s="8" t="e">
        <f>ROUND(#REF!,0)</f>
        <v>#REF!</v>
      </c>
      <c r="AC18" s="8" t="e">
        <f>ROUND(#REF!,0)</f>
        <v>#REF!</v>
      </c>
      <c r="AD18" s="8">
        <f>ROUND('Benefits Summary'!D42,0)</f>
        <v>0</v>
      </c>
      <c r="AE18" s="8" t="e">
        <f>ROUND(#REF!,0)</f>
        <v>#REF!</v>
      </c>
      <c r="AF18" s="8" t="e">
        <f>ROUND(#REF!,0)</f>
        <v>#REF!</v>
      </c>
      <c r="AG18" s="8" t="e">
        <f>ROUND('Benefits Summary'!#REF!,0)</f>
        <v>#REF!</v>
      </c>
      <c r="AJ18" s="8" t="e">
        <f>ROUND('Benefits Summary'!C37,0)</f>
        <v>#VALUE!</v>
      </c>
      <c r="AK18" s="8" t="e">
        <f>ROUND('Benefits Summary'!C37,0)</f>
        <v>#VALUE!</v>
      </c>
      <c r="AL18" s="8" t="e">
        <f>ROUND('Benefits Summary'!C38,0)</f>
        <v>#VALUE!</v>
      </c>
      <c r="AM18" s="8" t="e">
        <f>ROUND('Benefits Summary'!C40,0)</f>
        <v>#VALUE!</v>
      </c>
      <c r="AN18" s="8" t="e">
        <f>ROUND('Benefits Summary'!C39,0)</f>
        <v>#VALUE!</v>
      </c>
      <c r="AP18" s="191"/>
      <c r="AQ18" s="191"/>
      <c r="AR18" s="191"/>
      <c r="BC18" s="190">
        <f>IF(Table13[[#This Row],[Benefits Criteria Table
Step 1: Disadvantaged Community? (Y/N)]]="Yes",Table13[[#This Row],[Count]],0)</f>
        <v>0</v>
      </c>
      <c r="BD18" s="190">
        <f>IF(Table13[[#This Row],[Benefits Criteria Table
Step 1: Disadvantaged Community? (Y/N)]]="Yes",Table13[[#This Row],[Total GGRF Funding Amount from this Program ($)]],0)</f>
        <v>0</v>
      </c>
      <c r="BE18" s="190">
        <f>IF(Table13[[#This Row],[Benefits Criteria Table
Step 1: Low-income Community or Low-income Household? (Y/N)]]="Yes",Table13[[#This Row],[Count]],0)</f>
        <v>0</v>
      </c>
      <c r="BF18" s="190">
        <f>IF(Table13[[#This Row],[Benefits Criteria Table
Step 1: Low-income Community or Low-income Household? (Y/N)]]="Yes",Table13[[#This Row],[Total GGRF Funding Amount from this Program ($)]],0)</f>
        <v>0</v>
      </c>
      <c r="BG18" s="190">
        <f>IF(Table13[[#This Row],[Benefits Criteria Table
Step 1: Low-income 1/2-mile Buffer Region? (Y/N)]]="Yes",Table13[[#This Row],[Count]],0)</f>
        <v>0</v>
      </c>
      <c r="BH18" s="190">
        <f>IF(Table13[[#This Row],[Benefits Criteria Table
Step 1: Low-income 1/2-mile Buffer Region? (Y/N)]]="Yes",Table13[[#This Row],[Total GGRF Funding Amount from this Program ($)]],0)</f>
        <v>0</v>
      </c>
      <c r="BI18" s="2"/>
      <c r="BJ18" s="190" t="str">
        <f>IF(Table13[[#This Row],[Benefits Criteria Table
Step 1: Disadvantaged Community? (Y/N)]]="YES",IF(Table13[[#This Row],[Select a Priority Population]]="Disadvantaged Community",Table13[[#This Row],[Count]],0),"")</f>
        <v/>
      </c>
      <c r="BK18" s="190" t="str">
        <f>IF(Table13[[#This Row],[Benefits Criteria Table
Step 1: Disadvantaged Community? (Y/N)]]="YES",IF(Table13[[#This Row],[Select a Priority Population]]="Disadvantaged Community",Table13[[#This Row],[Qualifying Disadvantaged Community Benefit Amount ($)]],0),"")</f>
        <v/>
      </c>
      <c r="BL18" s="190">
        <f>IF(Table13[[#This Row],[Benefits Criteria Table
Step 1: Low-income Community or Low-income Household? (Y/N)]]="Yes",IF(Table13[[#This Row],[Select a Priority Population]]="Low-income Community",Table13[[#This Row],[Count]],0),0)</f>
        <v>0</v>
      </c>
      <c r="BM18" s="190">
        <f>IF(Table13[[#This Row],[Benefits Criteria Table
Step 1: Low-income Community or Low-income Household? (Y/N)]]="Yes",IF(Table13[[#This Row],[Select a Priority Population]]="Low-income Community",Table13[[#This Row],[Total GGRF Funding Amount from this Program ($)]],0),0)</f>
        <v>0</v>
      </c>
      <c r="BN18" s="190">
        <f>IF(Table13[[#This Row],[Benefits Criteria Table
Step 1: Low-income 1/2-mile Buffer Region? (Y/N)]]="Yes",IF(Table13[[#This Row],[Select a Priority Population]]="1/2 Mile Buffer Zone",Table13[[#This Row],[Count]],0),0)</f>
        <v>0</v>
      </c>
      <c r="BO18" s="190">
        <f>IF(Table13[[#This Row],[Benefits Criteria Table
Step 1: Low-income 1/2-mile Buffer Region? (Y/N)]]="Yes",IF(Table13[[#This Row],[Select a Priority Population]]="1/2 Mile Buffer Zone",Table13[[#This Row],[Total GGRF Funding Amount from this Program ($)]],0),0)</f>
        <v>0</v>
      </c>
      <c r="BP18" s="190">
        <f>IF(ISBLANK(Table13[[#This Row],[Project ID]]), 0, 1)</f>
        <v>0</v>
      </c>
      <c r="BQ18" s="2"/>
      <c r="BR18" s="2"/>
      <c r="BS18" s="2"/>
    </row>
    <row r="19" spans="7:71" hidden="1" x14ac:dyDescent="0.25">
      <c r="G19" s="2">
        <f>'Project Info'!D36</f>
        <v>0</v>
      </c>
      <c r="I19" s="7"/>
      <c r="J19" s="7"/>
      <c r="K19" s="7"/>
      <c r="L19" s="7">
        <f>'Project Info'!D46</f>
        <v>0</v>
      </c>
      <c r="M19" s="7"/>
      <c r="N19" s="2">
        <f>ROUND('Project Info'!D45,0)</f>
        <v>0</v>
      </c>
      <c r="O19" s="2">
        <f>ROUND('Project Info'!D42,0)</f>
        <v>0</v>
      </c>
      <c r="Q19" s="2">
        <f>ROUND('Project Info'!D44,0)</f>
        <v>0</v>
      </c>
      <c r="R19" s="7">
        <f>'Project Info'!D42</f>
        <v>0</v>
      </c>
      <c r="S19" s="8">
        <f>'Project Info'!D47</f>
        <v>0</v>
      </c>
      <c r="T19" s="8" t="e">
        <f>ROUND('Benefits Summary'!#REF!,0)</f>
        <v>#REF!</v>
      </c>
      <c r="U19" s="7">
        <f>'Project Info'!D47</f>
        <v>0</v>
      </c>
      <c r="AA19" s="8" t="e">
        <f>ROUND(#REF!,0)</f>
        <v>#REF!</v>
      </c>
      <c r="AB19" s="8" t="e">
        <f>ROUND(#REF!,0)</f>
        <v>#REF!</v>
      </c>
      <c r="AC19" s="8" t="e">
        <f>ROUND(#REF!,0)</f>
        <v>#REF!</v>
      </c>
      <c r="AD19" s="8" t="e">
        <f>ROUND(#REF!,0)</f>
        <v>#REF!</v>
      </c>
      <c r="AE19" s="8" t="e">
        <f>ROUND(#REF!,0)</f>
        <v>#REF!</v>
      </c>
      <c r="AF19" s="8" t="e">
        <f>ROUND(#REF!,0)</f>
        <v>#REF!</v>
      </c>
      <c r="AG19" s="8" t="e">
        <f>ROUND('Benefits Summary'!C37,0)</f>
        <v>#VALUE!</v>
      </c>
      <c r="AJ19" s="8" t="e">
        <f>ROUND('Benefits Summary'!C38,0)</f>
        <v>#VALUE!</v>
      </c>
      <c r="AK19" s="8" t="e">
        <f>ROUND('Benefits Summary'!C38,0)</f>
        <v>#VALUE!</v>
      </c>
      <c r="AL19" s="8" t="e">
        <f>ROUND('Benefits Summary'!C39,0)</f>
        <v>#VALUE!</v>
      </c>
      <c r="AM19" s="8" t="e">
        <f>ROUND('Benefits Summary'!C41,0)</f>
        <v>#VALUE!</v>
      </c>
      <c r="AN19" s="8" t="e">
        <f>ROUND('Benefits Summary'!C40,0)</f>
        <v>#VALUE!</v>
      </c>
      <c r="AP19" s="191"/>
      <c r="AQ19" s="191"/>
      <c r="AR19" s="191"/>
      <c r="BC19" s="190">
        <f>IF(Table13[[#This Row],[Benefits Criteria Table
Step 1: Disadvantaged Community? (Y/N)]]="Yes",Table13[[#This Row],[Count]],0)</f>
        <v>0</v>
      </c>
      <c r="BD19" s="190">
        <f>IF(Table13[[#This Row],[Benefits Criteria Table
Step 1: Disadvantaged Community? (Y/N)]]="Yes",Table13[[#This Row],[Total GGRF Funding Amount from this Program ($)]],0)</f>
        <v>0</v>
      </c>
      <c r="BE19" s="190">
        <f>IF(Table13[[#This Row],[Benefits Criteria Table
Step 1: Low-income Community or Low-income Household? (Y/N)]]="Yes",Table13[[#This Row],[Count]],0)</f>
        <v>0</v>
      </c>
      <c r="BF19" s="190">
        <f>IF(Table13[[#This Row],[Benefits Criteria Table
Step 1: Low-income Community or Low-income Household? (Y/N)]]="Yes",Table13[[#This Row],[Total GGRF Funding Amount from this Program ($)]],0)</f>
        <v>0</v>
      </c>
      <c r="BG19" s="190">
        <f>IF(Table13[[#This Row],[Benefits Criteria Table
Step 1: Low-income 1/2-mile Buffer Region? (Y/N)]]="Yes",Table13[[#This Row],[Count]],0)</f>
        <v>0</v>
      </c>
      <c r="BH19" s="190">
        <f>IF(Table13[[#This Row],[Benefits Criteria Table
Step 1: Low-income 1/2-mile Buffer Region? (Y/N)]]="Yes",Table13[[#This Row],[Total GGRF Funding Amount from this Program ($)]],0)</f>
        <v>0</v>
      </c>
      <c r="BI19" s="2"/>
      <c r="BJ19" s="190" t="str">
        <f>IF(Table13[[#This Row],[Benefits Criteria Table
Step 1: Disadvantaged Community? (Y/N)]]="YES",IF(Table13[[#This Row],[Select a Priority Population]]="Disadvantaged Community",Table13[[#This Row],[Count]],0),"")</f>
        <v/>
      </c>
      <c r="BK19" s="190" t="str">
        <f>IF(Table13[[#This Row],[Benefits Criteria Table
Step 1: Disadvantaged Community? (Y/N)]]="YES",IF(Table13[[#This Row],[Select a Priority Population]]="Disadvantaged Community",Table13[[#This Row],[Qualifying Disadvantaged Community Benefit Amount ($)]],0),"")</f>
        <v/>
      </c>
      <c r="BL19" s="190">
        <f>IF(Table13[[#This Row],[Benefits Criteria Table
Step 1: Low-income Community or Low-income Household? (Y/N)]]="Yes",IF(Table13[[#This Row],[Select a Priority Population]]="Low-income Community",Table13[[#This Row],[Count]],0),0)</f>
        <v>0</v>
      </c>
      <c r="BM19" s="190">
        <f>IF(Table13[[#This Row],[Benefits Criteria Table
Step 1: Low-income Community or Low-income Household? (Y/N)]]="Yes",IF(Table13[[#This Row],[Select a Priority Population]]="Low-income Community",Table13[[#This Row],[Total GGRF Funding Amount from this Program ($)]],0),0)</f>
        <v>0</v>
      </c>
      <c r="BN19" s="190">
        <f>IF(Table13[[#This Row],[Benefits Criteria Table
Step 1: Low-income 1/2-mile Buffer Region? (Y/N)]]="Yes",IF(Table13[[#This Row],[Select a Priority Population]]="1/2 Mile Buffer Zone",Table13[[#This Row],[Count]],0),0)</f>
        <v>0</v>
      </c>
      <c r="BO19" s="190">
        <f>IF(Table13[[#This Row],[Benefits Criteria Table
Step 1: Low-income 1/2-mile Buffer Region? (Y/N)]]="Yes",IF(Table13[[#This Row],[Select a Priority Population]]="1/2 Mile Buffer Zone",Table13[[#This Row],[Total GGRF Funding Amount from this Program ($)]],0),0)</f>
        <v>0</v>
      </c>
      <c r="BP19" s="190">
        <f>IF(ISBLANK(Table13[[#This Row],[Project ID]]), 0, 1)</f>
        <v>0</v>
      </c>
      <c r="BQ19" s="2"/>
      <c r="BR19" s="2"/>
      <c r="BS19" s="2"/>
    </row>
    <row r="20" spans="7:71" hidden="1" x14ac:dyDescent="0.25">
      <c r="G20" s="2">
        <f>'Project Info'!D37</f>
        <v>0</v>
      </c>
      <c r="I20" s="7"/>
      <c r="J20" s="7"/>
      <c r="K20" s="7"/>
      <c r="L20" s="7">
        <f>'Project Info'!D47</f>
        <v>0</v>
      </c>
      <c r="M20" s="7"/>
      <c r="N20" s="2">
        <f>ROUND('Project Info'!D46,0)</f>
        <v>0</v>
      </c>
      <c r="O20" s="2">
        <f>ROUND('Project Info'!D43,0)</f>
        <v>0</v>
      </c>
      <c r="Q20" s="2">
        <f>ROUND('Project Info'!D45,0)</f>
        <v>0</v>
      </c>
      <c r="R20" s="7">
        <f>'Project Info'!D43</f>
        <v>0</v>
      </c>
      <c r="S20" s="8">
        <f>'Project Info'!D48</f>
        <v>0</v>
      </c>
      <c r="T20" s="8" t="e">
        <f>ROUND('Benefits Summary'!#REF!,0)</f>
        <v>#REF!</v>
      </c>
      <c r="U20" s="7">
        <f>'Project Info'!D48</f>
        <v>0</v>
      </c>
      <c r="AA20" s="8" t="e">
        <f>ROUND(#REF!,0)</f>
        <v>#REF!</v>
      </c>
      <c r="AB20" s="8" t="e">
        <f>ROUND(#REF!,0)</f>
        <v>#REF!</v>
      </c>
      <c r="AC20" s="8" t="e">
        <f>ROUND(#REF!,0)</f>
        <v>#REF!</v>
      </c>
      <c r="AD20" s="8" t="e">
        <f>ROUND(#REF!,0)</f>
        <v>#REF!</v>
      </c>
      <c r="AE20" s="8" t="e">
        <f>ROUND(#REF!,0)</f>
        <v>#REF!</v>
      </c>
      <c r="AF20" s="8" t="e">
        <f>ROUND(#REF!,0)</f>
        <v>#REF!</v>
      </c>
      <c r="AG20" s="8" t="e">
        <f>ROUND('Benefits Summary'!C38,0)</f>
        <v>#VALUE!</v>
      </c>
      <c r="AJ20" s="8" t="e">
        <f>ROUND('Benefits Summary'!C39,0)</f>
        <v>#VALUE!</v>
      </c>
      <c r="AK20" s="8" t="e">
        <f>ROUND('Benefits Summary'!C39,0)</f>
        <v>#VALUE!</v>
      </c>
      <c r="AL20" s="8" t="e">
        <f>ROUND('Benefits Summary'!C40,0)</f>
        <v>#VALUE!</v>
      </c>
      <c r="AM20" s="8">
        <f>ROUND('Benefits Summary'!C42,0)</f>
        <v>0</v>
      </c>
      <c r="AN20" s="8" t="e">
        <f>ROUND('Benefits Summary'!C41,0)</f>
        <v>#VALUE!</v>
      </c>
      <c r="AP20" s="191"/>
      <c r="AQ20" s="191"/>
      <c r="AR20" s="191"/>
      <c r="BC20" s="190">
        <f>IF(Table13[[#This Row],[Benefits Criteria Table
Step 1: Disadvantaged Community? (Y/N)]]="Yes",Table13[[#This Row],[Count]],0)</f>
        <v>0</v>
      </c>
      <c r="BD20" s="190">
        <f>IF(Table13[[#This Row],[Benefits Criteria Table
Step 1: Disadvantaged Community? (Y/N)]]="Yes",Table13[[#This Row],[Total GGRF Funding Amount from this Program ($)]],0)</f>
        <v>0</v>
      </c>
      <c r="BE20" s="190">
        <f>IF(Table13[[#This Row],[Benefits Criteria Table
Step 1: Low-income Community or Low-income Household? (Y/N)]]="Yes",Table13[[#This Row],[Count]],0)</f>
        <v>0</v>
      </c>
      <c r="BF20" s="190">
        <f>IF(Table13[[#This Row],[Benefits Criteria Table
Step 1: Low-income Community or Low-income Household? (Y/N)]]="Yes",Table13[[#This Row],[Total GGRF Funding Amount from this Program ($)]],0)</f>
        <v>0</v>
      </c>
      <c r="BG20" s="190">
        <f>IF(Table13[[#This Row],[Benefits Criteria Table
Step 1: Low-income 1/2-mile Buffer Region? (Y/N)]]="Yes",Table13[[#This Row],[Count]],0)</f>
        <v>0</v>
      </c>
      <c r="BH20" s="190">
        <f>IF(Table13[[#This Row],[Benefits Criteria Table
Step 1: Low-income 1/2-mile Buffer Region? (Y/N)]]="Yes",Table13[[#This Row],[Total GGRF Funding Amount from this Program ($)]],0)</f>
        <v>0</v>
      </c>
      <c r="BI20" s="2"/>
      <c r="BJ20" s="190" t="str">
        <f>IF(Table13[[#This Row],[Benefits Criteria Table
Step 1: Disadvantaged Community? (Y/N)]]="YES",IF(Table13[[#This Row],[Select a Priority Population]]="Disadvantaged Community",Table13[[#This Row],[Count]],0),"")</f>
        <v/>
      </c>
      <c r="BK20" s="190" t="str">
        <f>IF(Table13[[#This Row],[Benefits Criteria Table
Step 1: Disadvantaged Community? (Y/N)]]="YES",IF(Table13[[#This Row],[Select a Priority Population]]="Disadvantaged Community",Table13[[#This Row],[Qualifying Disadvantaged Community Benefit Amount ($)]],0),"")</f>
        <v/>
      </c>
      <c r="BL20" s="190">
        <f>IF(Table13[[#This Row],[Benefits Criteria Table
Step 1: Low-income Community or Low-income Household? (Y/N)]]="Yes",IF(Table13[[#This Row],[Select a Priority Population]]="Low-income Community",Table13[[#This Row],[Count]],0),0)</f>
        <v>0</v>
      </c>
      <c r="BM20" s="190">
        <f>IF(Table13[[#This Row],[Benefits Criteria Table
Step 1: Low-income Community or Low-income Household? (Y/N)]]="Yes",IF(Table13[[#This Row],[Select a Priority Population]]="Low-income Community",Table13[[#This Row],[Total GGRF Funding Amount from this Program ($)]],0),0)</f>
        <v>0</v>
      </c>
      <c r="BN20" s="190">
        <f>IF(Table13[[#This Row],[Benefits Criteria Table
Step 1: Low-income 1/2-mile Buffer Region? (Y/N)]]="Yes",IF(Table13[[#This Row],[Select a Priority Population]]="1/2 Mile Buffer Zone",Table13[[#This Row],[Count]],0),0)</f>
        <v>0</v>
      </c>
      <c r="BO20" s="190">
        <f>IF(Table13[[#This Row],[Benefits Criteria Table
Step 1: Low-income 1/2-mile Buffer Region? (Y/N)]]="Yes",IF(Table13[[#This Row],[Select a Priority Population]]="1/2 Mile Buffer Zone",Table13[[#This Row],[Total GGRF Funding Amount from this Program ($)]],0),0)</f>
        <v>0</v>
      </c>
      <c r="BP20" s="190">
        <f>IF(ISBLANK(Table13[[#This Row],[Project ID]]), 0, 1)</f>
        <v>0</v>
      </c>
      <c r="BQ20" s="2"/>
      <c r="BR20" s="2"/>
      <c r="BS20" s="2"/>
    </row>
    <row r="21" spans="7:71" hidden="1" x14ac:dyDescent="0.25">
      <c r="G21" s="2">
        <f>'Project Info'!D38</f>
        <v>0</v>
      </c>
      <c r="I21" s="7"/>
      <c r="J21" s="7"/>
      <c r="K21" s="7"/>
      <c r="L21" s="7">
        <f>'Project Info'!D48</f>
        <v>0</v>
      </c>
      <c r="M21" s="7"/>
      <c r="N21" s="2">
        <f>ROUND('Project Info'!D47,0)</f>
        <v>0</v>
      </c>
      <c r="O21" s="2">
        <f>ROUND('Project Info'!D44,0)</f>
        <v>0</v>
      </c>
      <c r="Q21" s="2">
        <f>ROUND('Project Info'!D46,0)</f>
        <v>0</v>
      </c>
      <c r="R21" s="7">
        <f>'Project Info'!D44</f>
        <v>0</v>
      </c>
      <c r="S21" s="8">
        <f>'Project Info'!D49</f>
        <v>0</v>
      </c>
      <c r="T21" s="8" t="e">
        <f>ROUND('Benefits Summary'!#REF!,0)</f>
        <v>#REF!</v>
      </c>
      <c r="U21" s="7">
        <f>'Project Info'!D49</f>
        <v>0</v>
      </c>
      <c r="AA21" s="8" t="e">
        <f>ROUND(#REF!,0)</f>
        <v>#REF!</v>
      </c>
      <c r="AB21" s="8" t="e">
        <f>ROUND(#REF!,0)</f>
        <v>#REF!</v>
      </c>
      <c r="AC21" s="8" t="e">
        <f>ROUND(#REF!,0)</f>
        <v>#REF!</v>
      </c>
      <c r="AD21" s="8" t="e">
        <f>ROUND(#REF!,0)</f>
        <v>#REF!</v>
      </c>
      <c r="AE21" s="8" t="e">
        <f>ROUND(#REF!,0)</f>
        <v>#REF!</v>
      </c>
      <c r="AF21" s="8" t="e">
        <f>ROUND(#REF!,0)</f>
        <v>#REF!</v>
      </c>
      <c r="AG21" s="8" t="e">
        <f>ROUND('Benefits Summary'!C39,0)</f>
        <v>#VALUE!</v>
      </c>
      <c r="AJ21" s="8" t="e">
        <f>ROUND('Benefits Summary'!C40,0)</f>
        <v>#VALUE!</v>
      </c>
      <c r="AK21" s="8" t="e">
        <f>ROUND('Benefits Summary'!C40,0)</f>
        <v>#VALUE!</v>
      </c>
      <c r="AL21" s="8" t="e">
        <f>ROUND('Benefits Summary'!C41,0)</f>
        <v>#VALUE!</v>
      </c>
      <c r="AM21" s="8" t="e">
        <f>ROUND(#REF!,0)</f>
        <v>#REF!</v>
      </c>
      <c r="AN21" s="8">
        <f>ROUND('Benefits Summary'!C42,0)</f>
        <v>0</v>
      </c>
      <c r="AP21" s="191"/>
      <c r="AQ21" s="191"/>
      <c r="AR21" s="191"/>
      <c r="BC21" s="190">
        <f>IF(Table13[[#This Row],[Benefits Criteria Table
Step 1: Disadvantaged Community? (Y/N)]]="Yes",Table13[[#This Row],[Count]],0)</f>
        <v>0</v>
      </c>
      <c r="BD21" s="190">
        <f>IF(Table13[[#This Row],[Benefits Criteria Table
Step 1: Disadvantaged Community? (Y/N)]]="Yes",Table13[[#This Row],[Total GGRF Funding Amount from this Program ($)]],0)</f>
        <v>0</v>
      </c>
      <c r="BE21" s="190">
        <f>IF(Table13[[#This Row],[Benefits Criteria Table
Step 1: Low-income Community or Low-income Household? (Y/N)]]="Yes",Table13[[#This Row],[Count]],0)</f>
        <v>0</v>
      </c>
      <c r="BF21" s="190">
        <f>IF(Table13[[#This Row],[Benefits Criteria Table
Step 1: Low-income Community or Low-income Household? (Y/N)]]="Yes",Table13[[#This Row],[Total GGRF Funding Amount from this Program ($)]],0)</f>
        <v>0</v>
      </c>
      <c r="BG21" s="190">
        <f>IF(Table13[[#This Row],[Benefits Criteria Table
Step 1: Low-income 1/2-mile Buffer Region? (Y/N)]]="Yes",Table13[[#This Row],[Count]],0)</f>
        <v>0</v>
      </c>
      <c r="BH21" s="190">
        <f>IF(Table13[[#This Row],[Benefits Criteria Table
Step 1: Low-income 1/2-mile Buffer Region? (Y/N)]]="Yes",Table13[[#This Row],[Total GGRF Funding Amount from this Program ($)]],0)</f>
        <v>0</v>
      </c>
      <c r="BI21" s="2"/>
      <c r="BJ21" s="190" t="str">
        <f>IF(Table13[[#This Row],[Benefits Criteria Table
Step 1: Disadvantaged Community? (Y/N)]]="YES",IF(Table13[[#This Row],[Select a Priority Population]]="Disadvantaged Community",Table13[[#This Row],[Count]],0),"")</f>
        <v/>
      </c>
      <c r="BK21" s="190" t="str">
        <f>IF(Table13[[#This Row],[Benefits Criteria Table
Step 1: Disadvantaged Community? (Y/N)]]="YES",IF(Table13[[#This Row],[Select a Priority Population]]="Disadvantaged Community",Table13[[#This Row],[Qualifying Disadvantaged Community Benefit Amount ($)]],0),"")</f>
        <v/>
      </c>
      <c r="BL21" s="190">
        <f>IF(Table13[[#This Row],[Benefits Criteria Table
Step 1: Low-income Community or Low-income Household? (Y/N)]]="Yes",IF(Table13[[#This Row],[Select a Priority Population]]="Low-income Community",Table13[[#This Row],[Count]],0),0)</f>
        <v>0</v>
      </c>
      <c r="BM21" s="190">
        <f>IF(Table13[[#This Row],[Benefits Criteria Table
Step 1: Low-income Community or Low-income Household? (Y/N)]]="Yes",IF(Table13[[#This Row],[Select a Priority Population]]="Low-income Community",Table13[[#This Row],[Total GGRF Funding Amount from this Program ($)]],0),0)</f>
        <v>0</v>
      </c>
      <c r="BN21" s="190">
        <f>IF(Table13[[#This Row],[Benefits Criteria Table
Step 1: Low-income 1/2-mile Buffer Region? (Y/N)]]="Yes",IF(Table13[[#This Row],[Select a Priority Population]]="1/2 Mile Buffer Zone",Table13[[#This Row],[Count]],0),0)</f>
        <v>0</v>
      </c>
      <c r="BO21" s="190">
        <f>IF(Table13[[#This Row],[Benefits Criteria Table
Step 1: Low-income 1/2-mile Buffer Region? (Y/N)]]="Yes",IF(Table13[[#This Row],[Select a Priority Population]]="1/2 Mile Buffer Zone",Table13[[#This Row],[Total GGRF Funding Amount from this Program ($)]],0),0)</f>
        <v>0</v>
      </c>
      <c r="BP21" s="190">
        <f>IF(ISBLANK(Table13[[#This Row],[Project ID]]), 0, 1)</f>
        <v>0</v>
      </c>
      <c r="BQ21" s="2"/>
      <c r="BR21" s="2"/>
      <c r="BS21" s="2"/>
    </row>
    <row r="22" spans="7:71" hidden="1" x14ac:dyDescent="0.25">
      <c r="G22" s="2">
        <f>'Project Info'!D39</f>
        <v>0</v>
      </c>
      <c r="I22" s="7"/>
      <c r="J22" s="7"/>
      <c r="K22" s="7"/>
      <c r="L22" s="7">
        <f>'Project Info'!D49</f>
        <v>0</v>
      </c>
      <c r="M22" s="7"/>
      <c r="N22" s="2">
        <f>ROUND('Project Info'!D48,0)</f>
        <v>0</v>
      </c>
      <c r="O22" s="2">
        <f>ROUND('Project Info'!D45,0)</f>
        <v>0</v>
      </c>
      <c r="Q22" s="2">
        <f>ROUND('Project Info'!D47,0)</f>
        <v>0</v>
      </c>
      <c r="R22" s="7">
        <f>'Project Info'!D45</f>
        <v>0</v>
      </c>
      <c r="S22" s="8">
        <f>'Project Info'!D50</f>
        <v>0</v>
      </c>
      <c r="T22" s="8" t="e">
        <f>ROUND('Benefits Summary'!#REF!,0)</f>
        <v>#REF!</v>
      </c>
      <c r="U22" s="7">
        <f>'Project Info'!D50</f>
        <v>0</v>
      </c>
      <c r="AA22" s="8" t="e">
        <f>ROUND(#REF!,0)</f>
        <v>#REF!</v>
      </c>
      <c r="AB22" s="8" t="e">
        <f>ROUND(#REF!,0)</f>
        <v>#REF!</v>
      </c>
      <c r="AC22" s="8" t="e">
        <f>ROUND(#REF!,0)</f>
        <v>#REF!</v>
      </c>
      <c r="AD22" s="8" t="e">
        <f>ROUND(#REF!,0)</f>
        <v>#REF!</v>
      </c>
      <c r="AE22" s="8" t="e">
        <f>ROUND(#REF!,0)</f>
        <v>#REF!</v>
      </c>
      <c r="AF22" s="8" t="e">
        <f>ROUND(#REF!,0)</f>
        <v>#REF!</v>
      </c>
      <c r="AG22" s="8" t="e">
        <f>ROUND('Benefits Summary'!C40,0)</f>
        <v>#VALUE!</v>
      </c>
      <c r="AJ22" s="8" t="e">
        <f>ROUND('Benefits Summary'!C41,0)</f>
        <v>#VALUE!</v>
      </c>
      <c r="AK22" s="8" t="e">
        <f>ROUND('Benefits Summary'!C41,0)</f>
        <v>#VALUE!</v>
      </c>
      <c r="AL22" s="8">
        <f>ROUND('Benefits Summary'!C42,0)</f>
        <v>0</v>
      </c>
      <c r="AM22" s="8" t="e">
        <f>ROUND(#REF!,0)</f>
        <v>#REF!</v>
      </c>
      <c r="AN22" s="8" t="e">
        <f>ROUND(#REF!,0)</f>
        <v>#REF!</v>
      </c>
      <c r="AP22" s="191"/>
      <c r="AQ22" s="191"/>
      <c r="AR22" s="191"/>
      <c r="BC22" s="190">
        <f>IF(Table13[[#This Row],[Benefits Criteria Table
Step 1: Disadvantaged Community? (Y/N)]]="Yes",Table13[[#This Row],[Count]],0)</f>
        <v>0</v>
      </c>
      <c r="BD22" s="190">
        <f>IF(Table13[[#This Row],[Benefits Criteria Table
Step 1: Disadvantaged Community? (Y/N)]]="Yes",Table13[[#This Row],[Total GGRF Funding Amount from this Program ($)]],0)</f>
        <v>0</v>
      </c>
      <c r="BE22" s="190">
        <f>IF(Table13[[#This Row],[Benefits Criteria Table
Step 1: Low-income Community or Low-income Household? (Y/N)]]="Yes",Table13[[#This Row],[Count]],0)</f>
        <v>0</v>
      </c>
      <c r="BF22" s="190">
        <f>IF(Table13[[#This Row],[Benefits Criteria Table
Step 1: Low-income Community or Low-income Household? (Y/N)]]="Yes",Table13[[#This Row],[Total GGRF Funding Amount from this Program ($)]],0)</f>
        <v>0</v>
      </c>
      <c r="BG22" s="190">
        <f>IF(Table13[[#This Row],[Benefits Criteria Table
Step 1: Low-income 1/2-mile Buffer Region? (Y/N)]]="Yes",Table13[[#This Row],[Count]],0)</f>
        <v>0</v>
      </c>
      <c r="BH22" s="190">
        <f>IF(Table13[[#This Row],[Benefits Criteria Table
Step 1: Low-income 1/2-mile Buffer Region? (Y/N)]]="Yes",Table13[[#This Row],[Total GGRF Funding Amount from this Program ($)]],0)</f>
        <v>0</v>
      </c>
      <c r="BI22" s="2"/>
      <c r="BJ22" s="190" t="str">
        <f>IF(Table13[[#This Row],[Benefits Criteria Table
Step 1: Disadvantaged Community? (Y/N)]]="YES",IF(Table13[[#This Row],[Select a Priority Population]]="Disadvantaged Community",Table13[[#This Row],[Count]],0),"")</f>
        <v/>
      </c>
      <c r="BK22" s="190" t="str">
        <f>IF(Table13[[#This Row],[Benefits Criteria Table
Step 1: Disadvantaged Community? (Y/N)]]="YES",IF(Table13[[#This Row],[Select a Priority Population]]="Disadvantaged Community",Table13[[#This Row],[Qualifying Disadvantaged Community Benefit Amount ($)]],0),"")</f>
        <v/>
      </c>
      <c r="BL22" s="190">
        <f>IF(Table13[[#This Row],[Benefits Criteria Table
Step 1: Low-income Community or Low-income Household? (Y/N)]]="Yes",IF(Table13[[#This Row],[Select a Priority Population]]="Low-income Community",Table13[[#This Row],[Count]],0),0)</f>
        <v>0</v>
      </c>
      <c r="BM22" s="190">
        <f>IF(Table13[[#This Row],[Benefits Criteria Table
Step 1: Low-income Community or Low-income Household? (Y/N)]]="Yes",IF(Table13[[#This Row],[Select a Priority Population]]="Low-income Community",Table13[[#This Row],[Total GGRF Funding Amount from this Program ($)]],0),0)</f>
        <v>0</v>
      </c>
      <c r="BN22" s="190">
        <f>IF(Table13[[#This Row],[Benefits Criteria Table
Step 1: Low-income 1/2-mile Buffer Region? (Y/N)]]="Yes",IF(Table13[[#This Row],[Select a Priority Population]]="1/2 Mile Buffer Zone",Table13[[#This Row],[Count]],0),0)</f>
        <v>0</v>
      </c>
      <c r="BO22" s="190">
        <f>IF(Table13[[#This Row],[Benefits Criteria Table
Step 1: Low-income 1/2-mile Buffer Region? (Y/N)]]="Yes",IF(Table13[[#This Row],[Select a Priority Population]]="1/2 Mile Buffer Zone",Table13[[#This Row],[Total GGRF Funding Amount from this Program ($)]],0),0)</f>
        <v>0</v>
      </c>
      <c r="BP22" s="190">
        <f>IF(ISBLANK(Table13[[#This Row],[Project ID]]), 0, 1)</f>
        <v>0</v>
      </c>
      <c r="BQ22" s="2"/>
      <c r="BR22" s="2"/>
      <c r="BS22" s="2"/>
    </row>
    <row r="23" spans="7:71" hidden="1" x14ac:dyDescent="0.25">
      <c r="G23" s="2">
        <f>'Project Info'!D40</f>
        <v>0</v>
      </c>
      <c r="I23" s="7"/>
      <c r="J23" s="7"/>
      <c r="K23" s="7"/>
      <c r="L23" s="7">
        <f>'Project Info'!D50</f>
        <v>0</v>
      </c>
      <c r="M23" s="7"/>
      <c r="N23" s="2">
        <f>ROUND('Project Info'!D49,0)</f>
        <v>0</v>
      </c>
      <c r="O23" s="2">
        <f>ROUND('Project Info'!D46,0)</f>
        <v>0</v>
      </c>
      <c r="Q23" s="2">
        <f>ROUND('Project Info'!D48,0)</f>
        <v>0</v>
      </c>
      <c r="R23" s="7">
        <f>'Project Info'!D46</f>
        <v>0</v>
      </c>
      <c r="S23" s="8">
        <f>'Project Info'!D51</f>
        <v>0</v>
      </c>
      <c r="T23" s="8" t="e">
        <f>ROUND('Benefits Summary'!#REF!,0)</f>
        <v>#REF!</v>
      </c>
      <c r="U23" s="7">
        <f>'Project Info'!D51</f>
        <v>0</v>
      </c>
      <c r="AA23" s="8" t="e">
        <f>ROUND(#REF!,0)</f>
        <v>#REF!</v>
      </c>
      <c r="AB23" s="8" t="e">
        <f>ROUND(#REF!,0)</f>
        <v>#REF!</v>
      </c>
      <c r="AC23" s="8" t="e">
        <f>ROUND(#REF!,0)</f>
        <v>#REF!</v>
      </c>
      <c r="AD23" s="8" t="e">
        <f>ROUND(#REF!,0)</f>
        <v>#REF!</v>
      </c>
      <c r="AE23" s="8" t="e">
        <f>ROUND(#REF!,0)</f>
        <v>#REF!</v>
      </c>
      <c r="AF23" s="8" t="e">
        <f>ROUND(#REF!,0)</f>
        <v>#REF!</v>
      </c>
      <c r="AG23" s="8" t="e">
        <f>ROUND('Benefits Summary'!C41,0)</f>
        <v>#VALUE!</v>
      </c>
      <c r="AJ23" s="8">
        <f>ROUND('Benefits Summary'!C42,0)</f>
        <v>0</v>
      </c>
      <c r="AK23" s="8">
        <f>ROUND('Benefits Summary'!C42,0)</f>
        <v>0</v>
      </c>
      <c r="AL23" s="8" t="e">
        <f>ROUND(#REF!,0)</f>
        <v>#REF!</v>
      </c>
      <c r="AM23" s="8" t="e">
        <f>ROUND(#REF!,0)</f>
        <v>#REF!</v>
      </c>
      <c r="AN23" s="8" t="e">
        <f>ROUND(#REF!,0)</f>
        <v>#REF!</v>
      </c>
      <c r="AP23" s="191"/>
      <c r="AQ23" s="191"/>
      <c r="AR23" s="191"/>
      <c r="BC23" s="190">
        <f>IF(Table13[[#This Row],[Benefits Criteria Table
Step 1: Disadvantaged Community? (Y/N)]]="Yes",Table13[[#This Row],[Count]],0)</f>
        <v>0</v>
      </c>
      <c r="BD23" s="190">
        <f>IF(Table13[[#This Row],[Benefits Criteria Table
Step 1: Disadvantaged Community? (Y/N)]]="Yes",Table13[[#This Row],[Total GGRF Funding Amount from this Program ($)]],0)</f>
        <v>0</v>
      </c>
      <c r="BE23" s="190">
        <f>IF(Table13[[#This Row],[Benefits Criteria Table
Step 1: Low-income Community or Low-income Household? (Y/N)]]="Yes",Table13[[#This Row],[Count]],0)</f>
        <v>0</v>
      </c>
      <c r="BF23" s="190">
        <f>IF(Table13[[#This Row],[Benefits Criteria Table
Step 1: Low-income Community or Low-income Household? (Y/N)]]="Yes",Table13[[#This Row],[Total GGRF Funding Amount from this Program ($)]],0)</f>
        <v>0</v>
      </c>
      <c r="BG23" s="190">
        <f>IF(Table13[[#This Row],[Benefits Criteria Table
Step 1: Low-income 1/2-mile Buffer Region? (Y/N)]]="Yes",Table13[[#This Row],[Count]],0)</f>
        <v>0</v>
      </c>
      <c r="BH23" s="190">
        <f>IF(Table13[[#This Row],[Benefits Criteria Table
Step 1: Low-income 1/2-mile Buffer Region? (Y/N)]]="Yes",Table13[[#This Row],[Total GGRF Funding Amount from this Program ($)]],0)</f>
        <v>0</v>
      </c>
      <c r="BI23" s="2"/>
      <c r="BJ23" s="190" t="str">
        <f>IF(Table13[[#This Row],[Benefits Criteria Table
Step 1: Disadvantaged Community? (Y/N)]]="YES",IF(Table13[[#This Row],[Select a Priority Population]]="Disadvantaged Community",Table13[[#This Row],[Count]],0),"")</f>
        <v/>
      </c>
      <c r="BK23" s="190" t="str">
        <f>IF(Table13[[#This Row],[Benefits Criteria Table
Step 1: Disadvantaged Community? (Y/N)]]="YES",IF(Table13[[#This Row],[Select a Priority Population]]="Disadvantaged Community",Table13[[#This Row],[Qualifying Disadvantaged Community Benefit Amount ($)]],0),"")</f>
        <v/>
      </c>
      <c r="BL23" s="190">
        <f>IF(Table13[[#This Row],[Benefits Criteria Table
Step 1: Low-income Community or Low-income Household? (Y/N)]]="Yes",IF(Table13[[#This Row],[Select a Priority Population]]="Low-income Community",Table13[[#This Row],[Count]],0),0)</f>
        <v>0</v>
      </c>
      <c r="BM23" s="190">
        <f>IF(Table13[[#This Row],[Benefits Criteria Table
Step 1: Low-income Community or Low-income Household? (Y/N)]]="Yes",IF(Table13[[#This Row],[Select a Priority Population]]="Low-income Community",Table13[[#This Row],[Total GGRF Funding Amount from this Program ($)]],0),0)</f>
        <v>0</v>
      </c>
      <c r="BN23" s="190">
        <f>IF(Table13[[#This Row],[Benefits Criteria Table
Step 1: Low-income 1/2-mile Buffer Region? (Y/N)]]="Yes",IF(Table13[[#This Row],[Select a Priority Population]]="1/2 Mile Buffer Zone",Table13[[#This Row],[Count]],0),0)</f>
        <v>0</v>
      </c>
      <c r="BO23" s="190">
        <f>IF(Table13[[#This Row],[Benefits Criteria Table
Step 1: Low-income 1/2-mile Buffer Region? (Y/N)]]="Yes",IF(Table13[[#This Row],[Select a Priority Population]]="1/2 Mile Buffer Zone",Table13[[#This Row],[Total GGRF Funding Amount from this Program ($)]],0),0)</f>
        <v>0</v>
      </c>
      <c r="BP23" s="190">
        <f>IF(ISBLANK(Table13[[#This Row],[Project ID]]), 0, 1)</f>
        <v>0</v>
      </c>
      <c r="BQ23" s="2"/>
      <c r="BR23" s="2"/>
      <c r="BS23" s="2"/>
    </row>
    <row r="24" spans="7:71" hidden="1" x14ac:dyDescent="0.25">
      <c r="G24" s="2">
        <f>'Project Info'!D41</f>
        <v>0</v>
      </c>
      <c r="I24" s="7"/>
      <c r="J24" s="7"/>
      <c r="K24" s="7"/>
      <c r="L24" s="7">
        <f>'Project Info'!D51</f>
        <v>0</v>
      </c>
      <c r="M24" s="7"/>
      <c r="N24" s="2">
        <f>ROUND('Project Info'!D50,0)</f>
        <v>0</v>
      </c>
      <c r="O24" s="2">
        <f>ROUND('Project Info'!D47,0)</f>
        <v>0</v>
      </c>
      <c r="Q24" s="2">
        <f>ROUND('Project Info'!D49,0)</f>
        <v>0</v>
      </c>
      <c r="R24" s="7">
        <f>'Project Info'!D47</f>
        <v>0</v>
      </c>
      <c r="S24" s="8">
        <f>'Project Info'!D52</f>
        <v>0</v>
      </c>
      <c r="T24" s="8" t="e">
        <f>ROUND('Benefits Summary'!#REF!,0)</f>
        <v>#REF!</v>
      </c>
      <c r="U24" s="7">
        <f>'Project Info'!D52</f>
        <v>0</v>
      </c>
      <c r="AA24" s="8" t="e">
        <f>ROUND(#REF!,0)</f>
        <v>#REF!</v>
      </c>
      <c r="AB24" s="8" t="e">
        <f>ROUND(#REF!,0)</f>
        <v>#REF!</v>
      </c>
      <c r="AC24" s="8" t="e">
        <f>ROUND(#REF!,0)</f>
        <v>#REF!</v>
      </c>
      <c r="AD24" s="8" t="e">
        <f>ROUND(#REF!,0)</f>
        <v>#REF!</v>
      </c>
      <c r="AE24" s="8" t="e">
        <f>ROUND(#REF!,0)</f>
        <v>#REF!</v>
      </c>
      <c r="AF24" s="8" t="e">
        <f>ROUND(#REF!,0)</f>
        <v>#REF!</v>
      </c>
      <c r="AG24" s="8">
        <f>ROUND('Benefits Summary'!C42,0)</f>
        <v>0</v>
      </c>
      <c r="AJ24" s="8" t="e">
        <f>ROUND(#REF!,0)</f>
        <v>#REF!</v>
      </c>
      <c r="AK24" s="8" t="e">
        <f>ROUND(#REF!,0)</f>
        <v>#REF!</v>
      </c>
      <c r="AL24" s="8" t="e">
        <f>ROUND(#REF!,0)</f>
        <v>#REF!</v>
      </c>
      <c r="AM24" s="8" t="e">
        <f>ROUND(#REF!,0)</f>
        <v>#REF!</v>
      </c>
      <c r="AN24" s="8" t="e">
        <f>ROUND(#REF!,0)</f>
        <v>#REF!</v>
      </c>
      <c r="AP24" s="191"/>
      <c r="AQ24" s="191"/>
      <c r="AR24" s="191"/>
      <c r="BC24" s="190">
        <f>IF(Table13[[#This Row],[Benefits Criteria Table
Step 1: Disadvantaged Community? (Y/N)]]="Yes",Table13[[#This Row],[Count]],0)</f>
        <v>0</v>
      </c>
      <c r="BD24" s="190">
        <f>IF(Table13[[#This Row],[Benefits Criteria Table
Step 1: Disadvantaged Community? (Y/N)]]="Yes",Table13[[#This Row],[Total GGRF Funding Amount from this Program ($)]],0)</f>
        <v>0</v>
      </c>
      <c r="BE24" s="190">
        <f>IF(Table13[[#This Row],[Benefits Criteria Table
Step 1: Low-income Community or Low-income Household? (Y/N)]]="Yes",Table13[[#This Row],[Count]],0)</f>
        <v>0</v>
      </c>
      <c r="BF24" s="190">
        <f>IF(Table13[[#This Row],[Benefits Criteria Table
Step 1: Low-income Community or Low-income Household? (Y/N)]]="Yes",Table13[[#This Row],[Total GGRF Funding Amount from this Program ($)]],0)</f>
        <v>0</v>
      </c>
      <c r="BG24" s="190">
        <f>IF(Table13[[#This Row],[Benefits Criteria Table
Step 1: Low-income 1/2-mile Buffer Region? (Y/N)]]="Yes",Table13[[#This Row],[Count]],0)</f>
        <v>0</v>
      </c>
      <c r="BH24" s="190">
        <f>IF(Table13[[#This Row],[Benefits Criteria Table
Step 1: Low-income 1/2-mile Buffer Region? (Y/N)]]="Yes",Table13[[#This Row],[Total GGRF Funding Amount from this Program ($)]],0)</f>
        <v>0</v>
      </c>
      <c r="BI24" s="2"/>
      <c r="BJ24" s="190" t="str">
        <f>IF(Table13[[#This Row],[Benefits Criteria Table
Step 1: Disadvantaged Community? (Y/N)]]="YES",IF(Table13[[#This Row],[Select a Priority Population]]="Disadvantaged Community",Table13[[#This Row],[Count]],0),"")</f>
        <v/>
      </c>
      <c r="BK24" s="190" t="str">
        <f>IF(Table13[[#This Row],[Benefits Criteria Table
Step 1: Disadvantaged Community? (Y/N)]]="YES",IF(Table13[[#This Row],[Select a Priority Population]]="Disadvantaged Community",Table13[[#This Row],[Qualifying Disadvantaged Community Benefit Amount ($)]],0),"")</f>
        <v/>
      </c>
      <c r="BL24" s="190">
        <f>IF(Table13[[#This Row],[Benefits Criteria Table
Step 1: Low-income Community or Low-income Household? (Y/N)]]="Yes",IF(Table13[[#This Row],[Select a Priority Population]]="Low-income Community",Table13[[#This Row],[Count]],0),0)</f>
        <v>0</v>
      </c>
      <c r="BM24" s="190">
        <f>IF(Table13[[#This Row],[Benefits Criteria Table
Step 1: Low-income Community or Low-income Household? (Y/N)]]="Yes",IF(Table13[[#This Row],[Select a Priority Population]]="Low-income Community",Table13[[#This Row],[Total GGRF Funding Amount from this Program ($)]],0),0)</f>
        <v>0</v>
      </c>
      <c r="BN24" s="190">
        <f>IF(Table13[[#This Row],[Benefits Criteria Table
Step 1: Low-income 1/2-mile Buffer Region? (Y/N)]]="Yes",IF(Table13[[#This Row],[Select a Priority Population]]="1/2 Mile Buffer Zone",Table13[[#This Row],[Count]],0),0)</f>
        <v>0</v>
      </c>
      <c r="BO24" s="190">
        <f>IF(Table13[[#This Row],[Benefits Criteria Table
Step 1: Low-income 1/2-mile Buffer Region? (Y/N)]]="Yes",IF(Table13[[#This Row],[Select a Priority Population]]="1/2 Mile Buffer Zone",Table13[[#This Row],[Total GGRF Funding Amount from this Program ($)]],0),0)</f>
        <v>0</v>
      </c>
      <c r="BP24" s="190">
        <f>IF(ISBLANK(Table13[[#This Row],[Project ID]]), 0, 1)</f>
        <v>0</v>
      </c>
      <c r="BQ24" s="2"/>
      <c r="BR24" s="2"/>
      <c r="BS24" s="2"/>
    </row>
    <row r="25" spans="7:71" hidden="1" x14ac:dyDescent="0.25">
      <c r="G25" s="2">
        <f>'Project Info'!D42</f>
        <v>0</v>
      </c>
      <c r="I25" s="7"/>
      <c r="J25" s="7"/>
      <c r="K25" s="7"/>
      <c r="L25" s="7">
        <f>'Project Info'!D52</f>
        <v>0</v>
      </c>
      <c r="M25" s="7"/>
      <c r="N25" s="2">
        <f>ROUND('Project Info'!D51,0)</f>
        <v>0</v>
      </c>
      <c r="O25" s="2">
        <f>ROUND('Project Info'!D48,0)</f>
        <v>0</v>
      </c>
      <c r="Q25" s="2">
        <f>ROUND('Project Info'!D50,0)</f>
        <v>0</v>
      </c>
      <c r="R25" s="7">
        <f>'Project Info'!D48</f>
        <v>0</v>
      </c>
      <c r="S25" s="8">
        <f>'Project Info'!D53</f>
        <v>0</v>
      </c>
      <c r="T25" s="8" t="e">
        <f>ROUND('Benefits Summary'!#REF!,0)</f>
        <v>#REF!</v>
      </c>
      <c r="U25" s="7">
        <f>'Project Info'!D53</f>
        <v>0</v>
      </c>
      <c r="AA25" s="8" t="e">
        <f>ROUND(#REF!,0)</f>
        <v>#REF!</v>
      </c>
      <c r="AB25" s="8" t="e">
        <f>ROUND(#REF!,0)</f>
        <v>#REF!</v>
      </c>
      <c r="AC25" s="8" t="e">
        <f>ROUND(#REF!,0)</f>
        <v>#REF!</v>
      </c>
      <c r="AD25" s="8" t="e">
        <f>ROUND(#REF!,0)</f>
        <v>#REF!</v>
      </c>
      <c r="AE25" s="8" t="e">
        <f>ROUND(#REF!,0)</f>
        <v>#REF!</v>
      </c>
      <c r="AF25" s="8" t="e">
        <f>ROUND(#REF!,0)</f>
        <v>#REF!</v>
      </c>
      <c r="AG25" s="8" t="e">
        <f>ROUND(#REF!,0)</f>
        <v>#REF!</v>
      </c>
      <c r="AJ25" s="8" t="e">
        <f>ROUND(#REF!,0)</f>
        <v>#REF!</v>
      </c>
      <c r="AK25" s="8" t="e">
        <f>ROUND(#REF!,0)</f>
        <v>#REF!</v>
      </c>
      <c r="AL25" s="8" t="e">
        <f>ROUND(#REF!,0)</f>
        <v>#REF!</v>
      </c>
      <c r="AM25" s="8" t="e">
        <f>ROUND(#REF!,0)</f>
        <v>#REF!</v>
      </c>
      <c r="AN25" s="8" t="e">
        <f>ROUND(#REF!,0)</f>
        <v>#REF!</v>
      </c>
      <c r="AP25" s="191"/>
      <c r="AQ25" s="191"/>
      <c r="AR25" s="191"/>
      <c r="BC25" s="190">
        <f>IF(Table13[[#This Row],[Benefits Criteria Table
Step 1: Disadvantaged Community? (Y/N)]]="Yes",Table13[[#This Row],[Count]],0)</f>
        <v>0</v>
      </c>
      <c r="BD25" s="190">
        <f>IF(Table13[[#This Row],[Benefits Criteria Table
Step 1: Disadvantaged Community? (Y/N)]]="Yes",Table13[[#This Row],[Total GGRF Funding Amount from this Program ($)]],0)</f>
        <v>0</v>
      </c>
      <c r="BE25" s="190">
        <f>IF(Table13[[#This Row],[Benefits Criteria Table
Step 1: Low-income Community or Low-income Household? (Y/N)]]="Yes",Table13[[#This Row],[Count]],0)</f>
        <v>0</v>
      </c>
      <c r="BF25" s="190">
        <f>IF(Table13[[#This Row],[Benefits Criteria Table
Step 1: Low-income Community or Low-income Household? (Y/N)]]="Yes",Table13[[#This Row],[Total GGRF Funding Amount from this Program ($)]],0)</f>
        <v>0</v>
      </c>
      <c r="BG25" s="190">
        <f>IF(Table13[[#This Row],[Benefits Criteria Table
Step 1: Low-income 1/2-mile Buffer Region? (Y/N)]]="Yes",Table13[[#This Row],[Count]],0)</f>
        <v>0</v>
      </c>
      <c r="BH25" s="190">
        <f>IF(Table13[[#This Row],[Benefits Criteria Table
Step 1: Low-income 1/2-mile Buffer Region? (Y/N)]]="Yes",Table13[[#This Row],[Total GGRF Funding Amount from this Program ($)]],0)</f>
        <v>0</v>
      </c>
      <c r="BI25" s="2"/>
      <c r="BJ25" s="190" t="str">
        <f>IF(Table13[[#This Row],[Benefits Criteria Table
Step 1: Disadvantaged Community? (Y/N)]]="YES",IF(Table13[[#This Row],[Select a Priority Population]]="Disadvantaged Community",Table13[[#This Row],[Count]],0),"")</f>
        <v/>
      </c>
      <c r="BK25" s="190" t="str">
        <f>IF(Table13[[#This Row],[Benefits Criteria Table
Step 1: Disadvantaged Community? (Y/N)]]="YES",IF(Table13[[#This Row],[Select a Priority Population]]="Disadvantaged Community",Table13[[#This Row],[Qualifying Disadvantaged Community Benefit Amount ($)]],0),"")</f>
        <v/>
      </c>
      <c r="BL25" s="190">
        <f>IF(Table13[[#This Row],[Benefits Criteria Table
Step 1: Low-income Community or Low-income Household? (Y/N)]]="Yes",IF(Table13[[#This Row],[Select a Priority Population]]="Low-income Community",Table13[[#This Row],[Count]],0),0)</f>
        <v>0</v>
      </c>
      <c r="BM25" s="190">
        <f>IF(Table13[[#This Row],[Benefits Criteria Table
Step 1: Low-income Community or Low-income Household? (Y/N)]]="Yes",IF(Table13[[#This Row],[Select a Priority Population]]="Low-income Community",Table13[[#This Row],[Total GGRF Funding Amount from this Program ($)]],0),0)</f>
        <v>0</v>
      </c>
      <c r="BN25" s="190">
        <f>IF(Table13[[#This Row],[Benefits Criteria Table
Step 1: Low-income 1/2-mile Buffer Region? (Y/N)]]="Yes",IF(Table13[[#This Row],[Select a Priority Population]]="1/2 Mile Buffer Zone",Table13[[#This Row],[Count]],0),0)</f>
        <v>0</v>
      </c>
      <c r="BO25" s="190">
        <f>IF(Table13[[#This Row],[Benefits Criteria Table
Step 1: Low-income 1/2-mile Buffer Region? (Y/N)]]="Yes",IF(Table13[[#This Row],[Select a Priority Population]]="1/2 Mile Buffer Zone",Table13[[#This Row],[Total GGRF Funding Amount from this Program ($)]],0),0)</f>
        <v>0</v>
      </c>
      <c r="BP25" s="190">
        <f>IF(ISBLANK(Table13[[#This Row],[Project ID]]), 0, 1)</f>
        <v>0</v>
      </c>
      <c r="BQ25" s="2"/>
      <c r="BR25" s="2"/>
      <c r="BS25" s="2"/>
    </row>
    <row r="26" spans="7:71" hidden="1" x14ac:dyDescent="0.25">
      <c r="G26" s="2">
        <f>'Project Info'!D43</f>
        <v>0</v>
      </c>
      <c r="I26" s="7"/>
      <c r="J26" s="7"/>
      <c r="K26" s="7"/>
      <c r="L26" s="7">
        <f>'Project Info'!D53</f>
        <v>0</v>
      </c>
      <c r="M26" s="7"/>
      <c r="N26" s="2">
        <f>ROUND('Project Info'!D52,0)</f>
        <v>0</v>
      </c>
      <c r="O26" s="2">
        <f>ROUND('Project Info'!D49,0)</f>
        <v>0</v>
      </c>
      <c r="Q26" s="2">
        <f>ROUND('Project Info'!D51,0)</f>
        <v>0</v>
      </c>
      <c r="R26" s="7">
        <f>'Project Info'!D49</f>
        <v>0</v>
      </c>
      <c r="S26" s="8">
        <f>'Project Info'!D54</f>
        <v>0</v>
      </c>
      <c r="T26" s="8" t="e">
        <f>ROUND('Benefits Summary'!#REF!,0)</f>
        <v>#REF!</v>
      </c>
      <c r="U26" s="7">
        <f>'Project Info'!D54</f>
        <v>0</v>
      </c>
      <c r="AA26" s="8" t="e">
        <f>ROUND(#REF!,0)</f>
        <v>#REF!</v>
      </c>
      <c r="AB26" s="8" t="e">
        <f>ROUND(#REF!,0)</f>
        <v>#REF!</v>
      </c>
      <c r="AC26" s="8" t="e">
        <f>ROUND(#REF!,0)</f>
        <v>#REF!</v>
      </c>
      <c r="AD26" s="8" t="e">
        <f>ROUND(#REF!,0)</f>
        <v>#REF!</v>
      </c>
      <c r="AE26" s="8" t="e">
        <f>ROUND(#REF!,0)</f>
        <v>#REF!</v>
      </c>
      <c r="AF26" s="8" t="e">
        <f>ROUND(#REF!,0)</f>
        <v>#REF!</v>
      </c>
      <c r="AG26" s="8" t="e">
        <f>ROUND(#REF!,0)</f>
        <v>#REF!</v>
      </c>
      <c r="AJ26" s="8" t="e">
        <f>ROUND(#REF!,0)</f>
        <v>#REF!</v>
      </c>
      <c r="AK26" s="8" t="e">
        <f>ROUND(#REF!,0)</f>
        <v>#REF!</v>
      </c>
      <c r="AL26" s="8" t="e">
        <f>ROUND(#REF!,0)</f>
        <v>#REF!</v>
      </c>
      <c r="AM26" s="8" t="e">
        <f>ROUND(#REF!,0)</f>
        <v>#REF!</v>
      </c>
      <c r="AN26" s="8" t="e">
        <f>ROUND(#REF!,0)</f>
        <v>#REF!</v>
      </c>
      <c r="AP26" s="191"/>
      <c r="AQ26" s="191"/>
      <c r="AR26" s="191"/>
      <c r="BC26" s="190">
        <f>IF(Table13[[#This Row],[Benefits Criteria Table
Step 1: Disadvantaged Community? (Y/N)]]="Yes",Table13[[#This Row],[Count]],0)</f>
        <v>0</v>
      </c>
      <c r="BD26" s="190">
        <f>IF(Table13[[#This Row],[Benefits Criteria Table
Step 1: Disadvantaged Community? (Y/N)]]="Yes",Table13[[#This Row],[Total GGRF Funding Amount from this Program ($)]],0)</f>
        <v>0</v>
      </c>
      <c r="BE26" s="190">
        <f>IF(Table13[[#This Row],[Benefits Criteria Table
Step 1: Low-income Community or Low-income Household? (Y/N)]]="Yes",Table13[[#This Row],[Count]],0)</f>
        <v>0</v>
      </c>
      <c r="BF26" s="190">
        <f>IF(Table13[[#This Row],[Benefits Criteria Table
Step 1: Low-income Community or Low-income Household? (Y/N)]]="Yes",Table13[[#This Row],[Total GGRF Funding Amount from this Program ($)]],0)</f>
        <v>0</v>
      </c>
      <c r="BG26" s="190">
        <f>IF(Table13[[#This Row],[Benefits Criteria Table
Step 1: Low-income 1/2-mile Buffer Region? (Y/N)]]="Yes",Table13[[#This Row],[Count]],0)</f>
        <v>0</v>
      </c>
      <c r="BH26" s="190">
        <f>IF(Table13[[#This Row],[Benefits Criteria Table
Step 1: Low-income 1/2-mile Buffer Region? (Y/N)]]="Yes",Table13[[#This Row],[Total GGRF Funding Amount from this Program ($)]],0)</f>
        <v>0</v>
      </c>
      <c r="BI26" s="2"/>
      <c r="BJ26" s="190" t="str">
        <f>IF(Table13[[#This Row],[Benefits Criteria Table
Step 1: Disadvantaged Community? (Y/N)]]="YES",IF(Table13[[#This Row],[Select a Priority Population]]="Disadvantaged Community",Table13[[#This Row],[Count]],0),"")</f>
        <v/>
      </c>
      <c r="BK26" s="190" t="str">
        <f>IF(Table13[[#This Row],[Benefits Criteria Table
Step 1: Disadvantaged Community? (Y/N)]]="YES",IF(Table13[[#This Row],[Select a Priority Population]]="Disadvantaged Community",Table13[[#This Row],[Qualifying Disadvantaged Community Benefit Amount ($)]],0),"")</f>
        <v/>
      </c>
      <c r="BL26" s="190">
        <f>IF(Table13[[#This Row],[Benefits Criteria Table
Step 1: Low-income Community or Low-income Household? (Y/N)]]="Yes",IF(Table13[[#This Row],[Select a Priority Population]]="Low-income Community",Table13[[#This Row],[Count]],0),0)</f>
        <v>0</v>
      </c>
      <c r="BM26" s="190">
        <f>IF(Table13[[#This Row],[Benefits Criteria Table
Step 1: Low-income Community or Low-income Household? (Y/N)]]="Yes",IF(Table13[[#This Row],[Select a Priority Population]]="Low-income Community",Table13[[#This Row],[Total GGRF Funding Amount from this Program ($)]],0),0)</f>
        <v>0</v>
      </c>
      <c r="BN26" s="190">
        <f>IF(Table13[[#This Row],[Benefits Criteria Table
Step 1: Low-income 1/2-mile Buffer Region? (Y/N)]]="Yes",IF(Table13[[#This Row],[Select a Priority Population]]="1/2 Mile Buffer Zone",Table13[[#This Row],[Count]],0),0)</f>
        <v>0</v>
      </c>
      <c r="BO26" s="190">
        <f>IF(Table13[[#This Row],[Benefits Criteria Table
Step 1: Low-income 1/2-mile Buffer Region? (Y/N)]]="Yes",IF(Table13[[#This Row],[Select a Priority Population]]="1/2 Mile Buffer Zone",Table13[[#This Row],[Total GGRF Funding Amount from this Program ($)]],0),0)</f>
        <v>0</v>
      </c>
      <c r="BP26" s="190">
        <f>IF(ISBLANK(Table13[[#This Row],[Project ID]]), 0, 1)</f>
        <v>0</v>
      </c>
      <c r="BQ26" s="2"/>
      <c r="BR26" s="2"/>
      <c r="BS26" s="2"/>
    </row>
    <row r="27" spans="7:71" hidden="1" x14ac:dyDescent="0.25">
      <c r="G27" s="2">
        <f>'Project Info'!D44</f>
        <v>0</v>
      </c>
      <c r="I27" s="7"/>
      <c r="J27" s="7"/>
      <c r="K27" s="7"/>
      <c r="L27" s="7">
        <f>'Project Info'!D54</f>
        <v>0</v>
      </c>
      <c r="M27" s="7"/>
      <c r="N27" s="2">
        <f>ROUND('Project Info'!D53,0)</f>
        <v>0</v>
      </c>
      <c r="O27" s="2">
        <f>ROUND('Project Info'!D50,0)</f>
        <v>0</v>
      </c>
      <c r="Q27" s="2">
        <f>ROUND('Project Info'!D52,0)</f>
        <v>0</v>
      </c>
      <c r="R27" s="7">
        <f>'Project Info'!D50</f>
        <v>0</v>
      </c>
      <c r="S27" s="8">
        <f>'Project Info'!D55</f>
        <v>0</v>
      </c>
      <c r="T27" s="8" t="e">
        <f>ROUND('Benefits Summary'!#REF!,0)</f>
        <v>#REF!</v>
      </c>
      <c r="U27" s="7">
        <f>'Project Info'!D55</f>
        <v>0</v>
      </c>
      <c r="AA27" s="8" t="e">
        <f>ROUND(#REF!,0)</f>
        <v>#REF!</v>
      </c>
      <c r="AB27" s="8" t="e">
        <f>ROUND(#REF!,0)</f>
        <v>#REF!</v>
      </c>
      <c r="AC27" s="8" t="e">
        <f>ROUND(#REF!,0)</f>
        <v>#REF!</v>
      </c>
      <c r="AD27" s="8" t="e">
        <f>ROUND(#REF!,0)</f>
        <v>#REF!</v>
      </c>
      <c r="AE27" s="8" t="e">
        <f>ROUND(#REF!,0)</f>
        <v>#REF!</v>
      </c>
      <c r="AF27" s="8" t="e">
        <f>ROUND(#REF!,0)</f>
        <v>#REF!</v>
      </c>
      <c r="AG27" s="8" t="e">
        <f>ROUND(#REF!,0)</f>
        <v>#REF!</v>
      </c>
      <c r="AJ27" s="8" t="e">
        <f>ROUND(#REF!,0)</f>
        <v>#REF!</v>
      </c>
      <c r="AK27" s="8" t="e">
        <f>ROUND(#REF!,0)</f>
        <v>#REF!</v>
      </c>
      <c r="AL27" s="8" t="e">
        <f>ROUND(#REF!,0)</f>
        <v>#REF!</v>
      </c>
      <c r="AM27" s="8" t="e">
        <f>ROUND(#REF!,0)</f>
        <v>#REF!</v>
      </c>
      <c r="AN27" s="8" t="e">
        <f>ROUND(#REF!,0)</f>
        <v>#REF!</v>
      </c>
      <c r="AP27" s="191"/>
      <c r="AQ27" s="191"/>
      <c r="AR27" s="191"/>
      <c r="BC27" s="190">
        <f>IF(Table13[[#This Row],[Benefits Criteria Table
Step 1: Disadvantaged Community? (Y/N)]]="Yes",Table13[[#This Row],[Count]],0)</f>
        <v>0</v>
      </c>
      <c r="BD27" s="190">
        <f>IF(Table13[[#This Row],[Benefits Criteria Table
Step 1: Disadvantaged Community? (Y/N)]]="Yes",Table13[[#This Row],[Total GGRF Funding Amount from this Program ($)]],0)</f>
        <v>0</v>
      </c>
      <c r="BE27" s="190">
        <f>IF(Table13[[#This Row],[Benefits Criteria Table
Step 1: Low-income Community or Low-income Household? (Y/N)]]="Yes",Table13[[#This Row],[Count]],0)</f>
        <v>0</v>
      </c>
      <c r="BF27" s="190">
        <f>IF(Table13[[#This Row],[Benefits Criteria Table
Step 1: Low-income Community or Low-income Household? (Y/N)]]="Yes",Table13[[#This Row],[Total GGRF Funding Amount from this Program ($)]],0)</f>
        <v>0</v>
      </c>
      <c r="BG27" s="190">
        <f>IF(Table13[[#This Row],[Benefits Criteria Table
Step 1: Low-income 1/2-mile Buffer Region? (Y/N)]]="Yes",Table13[[#This Row],[Count]],0)</f>
        <v>0</v>
      </c>
      <c r="BH27" s="190">
        <f>IF(Table13[[#This Row],[Benefits Criteria Table
Step 1: Low-income 1/2-mile Buffer Region? (Y/N)]]="Yes",Table13[[#This Row],[Total GGRF Funding Amount from this Program ($)]],0)</f>
        <v>0</v>
      </c>
      <c r="BI27" s="2"/>
      <c r="BJ27" s="190" t="str">
        <f>IF(Table13[[#This Row],[Benefits Criteria Table
Step 1: Disadvantaged Community? (Y/N)]]="YES",IF(Table13[[#This Row],[Select a Priority Population]]="Disadvantaged Community",Table13[[#This Row],[Count]],0),"")</f>
        <v/>
      </c>
      <c r="BK27" s="190" t="str">
        <f>IF(Table13[[#This Row],[Benefits Criteria Table
Step 1: Disadvantaged Community? (Y/N)]]="YES",IF(Table13[[#This Row],[Select a Priority Population]]="Disadvantaged Community",Table13[[#This Row],[Qualifying Disadvantaged Community Benefit Amount ($)]],0),"")</f>
        <v/>
      </c>
      <c r="BL27" s="190">
        <f>IF(Table13[[#This Row],[Benefits Criteria Table
Step 1: Low-income Community or Low-income Household? (Y/N)]]="Yes",IF(Table13[[#This Row],[Select a Priority Population]]="Low-income Community",Table13[[#This Row],[Count]],0),0)</f>
        <v>0</v>
      </c>
      <c r="BM27" s="190">
        <f>IF(Table13[[#This Row],[Benefits Criteria Table
Step 1: Low-income Community or Low-income Household? (Y/N)]]="Yes",IF(Table13[[#This Row],[Select a Priority Population]]="Low-income Community",Table13[[#This Row],[Total GGRF Funding Amount from this Program ($)]],0),0)</f>
        <v>0</v>
      </c>
      <c r="BN27" s="190">
        <f>IF(Table13[[#This Row],[Benefits Criteria Table
Step 1: Low-income 1/2-mile Buffer Region? (Y/N)]]="Yes",IF(Table13[[#This Row],[Select a Priority Population]]="1/2 Mile Buffer Zone",Table13[[#This Row],[Count]],0),0)</f>
        <v>0</v>
      </c>
      <c r="BO27" s="190">
        <f>IF(Table13[[#This Row],[Benefits Criteria Table
Step 1: Low-income 1/2-mile Buffer Region? (Y/N)]]="Yes",IF(Table13[[#This Row],[Select a Priority Population]]="1/2 Mile Buffer Zone",Table13[[#This Row],[Total GGRF Funding Amount from this Program ($)]],0),0)</f>
        <v>0</v>
      </c>
      <c r="BP27" s="190">
        <f>IF(ISBLANK(Table13[[#This Row],[Project ID]]), 0, 1)</f>
        <v>0</v>
      </c>
      <c r="BQ27" s="2"/>
      <c r="BR27" s="2"/>
      <c r="BS27" s="2"/>
    </row>
    <row r="28" spans="7:71" hidden="1" x14ac:dyDescent="0.25">
      <c r="G28" s="2">
        <f>'Project Info'!D45</f>
        <v>0</v>
      </c>
      <c r="I28" s="7"/>
      <c r="J28" s="7"/>
      <c r="K28" s="7"/>
      <c r="L28" s="7">
        <f>'Project Info'!D55</f>
        <v>0</v>
      </c>
      <c r="M28" s="7"/>
      <c r="N28" s="2">
        <f>ROUND('Project Info'!D54,0)</f>
        <v>0</v>
      </c>
      <c r="O28" s="2">
        <f>ROUND('Project Info'!D51,0)</f>
        <v>0</v>
      </c>
      <c r="Q28" s="2">
        <f>ROUND('Project Info'!D53,0)</f>
        <v>0</v>
      </c>
      <c r="R28" s="7">
        <f>'Project Info'!D51</f>
        <v>0</v>
      </c>
      <c r="S28" s="8">
        <f>'Project Info'!D56</f>
        <v>0</v>
      </c>
      <c r="T28" s="8" t="e">
        <f>ROUND('Benefits Summary'!#REF!,0)</f>
        <v>#REF!</v>
      </c>
      <c r="U28" s="7">
        <f>'Project Info'!D56</f>
        <v>0</v>
      </c>
      <c r="AA28" s="8" t="e">
        <f>ROUND(#REF!,0)</f>
        <v>#REF!</v>
      </c>
      <c r="AB28" s="8" t="e">
        <f>ROUND(#REF!,0)</f>
        <v>#REF!</v>
      </c>
      <c r="AC28" s="8" t="e">
        <f>ROUND(#REF!,0)</f>
        <v>#REF!</v>
      </c>
      <c r="AD28" s="8" t="e">
        <f>ROUND(#REF!,0)</f>
        <v>#REF!</v>
      </c>
      <c r="AE28" s="8" t="e">
        <f>ROUND(#REF!,0)</f>
        <v>#REF!</v>
      </c>
      <c r="AF28" s="8" t="e">
        <f>ROUND(#REF!,0)</f>
        <v>#REF!</v>
      </c>
      <c r="AG28" s="8" t="e">
        <f>ROUND(#REF!,0)</f>
        <v>#REF!</v>
      </c>
      <c r="AJ28" s="8" t="e">
        <f>ROUND(#REF!,0)</f>
        <v>#REF!</v>
      </c>
      <c r="AK28" s="8" t="e">
        <f>ROUND(#REF!,0)</f>
        <v>#REF!</v>
      </c>
      <c r="AL28" s="8" t="e">
        <f>ROUND(#REF!,0)</f>
        <v>#REF!</v>
      </c>
      <c r="AM28" s="8" t="e">
        <f>ROUND(#REF!,0)</f>
        <v>#REF!</v>
      </c>
      <c r="AN28" s="8" t="e">
        <f>ROUND(#REF!,0)</f>
        <v>#REF!</v>
      </c>
      <c r="AP28" s="191"/>
      <c r="AQ28" s="191"/>
      <c r="AR28" s="191"/>
      <c r="BC28" s="190">
        <f>IF(Table13[[#This Row],[Benefits Criteria Table
Step 1: Disadvantaged Community? (Y/N)]]="Yes",Table13[[#This Row],[Count]],0)</f>
        <v>0</v>
      </c>
      <c r="BD28" s="190">
        <f>IF(Table13[[#This Row],[Benefits Criteria Table
Step 1: Disadvantaged Community? (Y/N)]]="Yes",Table13[[#This Row],[Total GGRF Funding Amount from this Program ($)]],0)</f>
        <v>0</v>
      </c>
      <c r="BE28" s="190">
        <f>IF(Table13[[#This Row],[Benefits Criteria Table
Step 1: Low-income Community or Low-income Household? (Y/N)]]="Yes",Table13[[#This Row],[Count]],0)</f>
        <v>0</v>
      </c>
      <c r="BF28" s="190">
        <f>IF(Table13[[#This Row],[Benefits Criteria Table
Step 1: Low-income Community or Low-income Household? (Y/N)]]="Yes",Table13[[#This Row],[Total GGRF Funding Amount from this Program ($)]],0)</f>
        <v>0</v>
      </c>
      <c r="BG28" s="190">
        <f>IF(Table13[[#This Row],[Benefits Criteria Table
Step 1: Low-income 1/2-mile Buffer Region? (Y/N)]]="Yes",Table13[[#This Row],[Count]],0)</f>
        <v>0</v>
      </c>
      <c r="BH28" s="190">
        <f>IF(Table13[[#This Row],[Benefits Criteria Table
Step 1: Low-income 1/2-mile Buffer Region? (Y/N)]]="Yes",Table13[[#This Row],[Total GGRF Funding Amount from this Program ($)]],0)</f>
        <v>0</v>
      </c>
      <c r="BI28" s="2"/>
      <c r="BJ28" s="190" t="str">
        <f>IF(Table13[[#This Row],[Benefits Criteria Table
Step 1: Disadvantaged Community? (Y/N)]]="YES",IF(Table13[[#This Row],[Select a Priority Population]]="Disadvantaged Community",Table13[[#This Row],[Count]],0),"")</f>
        <v/>
      </c>
      <c r="BK28" s="190" t="str">
        <f>IF(Table13[[#This Row],[Benefits Criteria Table
Step 1: Disadvantaged Community? (Y/N)]]="YES",IF(Table13[[#This Row],[Select a Priority Population]]="Disadvantaged Community",Table13[[#This Row],[Qualifying Disadvantaged Community Benefit Amount ($)]],0),"")</f>
        <v/>
      </c>
      <c r="BL28" s="190">
        <f>IF(Table13[[#This Row],[Benefits Criteria Table
Step 1: Low-income Community or Low-income Household? (Y/N)]]="Yes",IF(Table13[[#This Row],[Select a Priority Population]]="Low-income Community",Table13[[#This Row],[Count]],0),0)</f>
        <v>0</v>
      </c>
      <c r="BM28" s="190">
        <f>IF(Table13[[#This Row],[Benefits Criteria Table
Step 1: Low-income Community or Low-income Household? (Y/N)]]="Yes",IF(Table13[[#This Row],[Select a Priority Population]]="Low-income Community",Table13[[#This Row],[Total GGRF Funding Amount from this Program ($)]],0),0)</f>
        <v>0</v>
      </c>
      <c r="BN28" s="190">
        <f>IF(Table13[[#This Row],[Benefits Criteria Table
Step 1: Low-income 1/2-mile Buffer Region? (Y/N)]]="Yes",IF(Table13[[#This Row],[Select a Priority Population]]="1/2 Mile Buffer Zone",Table13[[#This Row],[Count]],0),0)</f>
        <v>0</v>
      </c>
      <c r="BO28" s="190">
        <f>IF(Table13[[#This Row],[Benefits Criteria Table
Step 1: Low-income 1/2-mile Buffer Region? (Y/N)]]="Yes",IF(Table13[[#This Row],[Select a Priority Population]]="1/2 Mile Buffer Zone",Table13[[#This Row],[Total GGRF Funding Amount from this Program ($)]],0),0)</f>
        <v>0</v>
      </c>
      <c r="BP28" s="190">
        <f>IF(ISBLANK(Table13[[#This Row],[Project ID]]), 0, 1)</f>
        <v>0</v>
      </c>
      <c r="BQ28" s="2"/>
      <c r="BR28" s="2"/>
      <c r="BS28" s="2"/>
    </row>
    <row r="29" spans="7:71" hidden="1" x14ac:dyDescent="0.25">
      <c r="G29" s="2">
        <f>'Project Info'!D46</f>
        <v>0</v>
      </c>
      <c r="I29" s="7"/>
      <c r="J29" s="7"/>
      <c r="K29" s="7"/>
      <c r="L29" s="7">
        <f>'Project Info'!D56</f>
        <v>0</v>
      </c>
      <c r="M29" s="7"/>
      <c r="N29" s="2">
        <f>ROUND('Project Info'!D55,0)</f>
        <v>0</v>
      </c>
      <c r="O29" s="2">
        <f>ROUND('Project Info'!D52,0)</f>
        <v>0</v>
      </c>
      <c r="Q29" s="2">
        <f>ROUND('Project Info'!D54,0)</f>
        <v>0</v>
      </c>
      <c r="R29" s="7">
        <f>'Project Info'!D52</f>
        <v>0</v>
      </c>
      <c r="S29" s="8">
        <f>'Project Info'!D57</f>
        <v>0</v>
      </c>
      <c r="T29" s="8" t="e">
        <f>ROUND('Benefits Summary'!#REF!,0)</f>
        <v>#REF!</v>
      </c>
      <c r="U29" s="7">
        <f>'Project Info'!D57</f>
        <v>0</v>
      </c>
      <c r="AA29" s="8" t="e">
        <f>ROUND(#REF!,0)</f>
        <v>#REF!</v>
      </c>
      <c r="AB29" s="8" t="e">
        <f>ROUND(#REF!,0)</f>
        <v>#REF!</v>
      </c>
      <c r="AC29" s="8" t="e">
        <f>ROUND(#REF!,0)</f>
        <v>#REF!</v>
      </c>
      <c r="AD29" s="8" t="e">
        <f>ROUND(#REF!,0)</f>
        <v>#REF!</v>
      </c>
      <c r="AE29" s="8" t="e">
        <f>ROUND(#REF!,0)</f>
        <v>#REF!</v>
      </c>
      <c r="AF29" s="8" t="e">
        <f>ROUND(#REF!,0)</f>
        <v>#REF!</v>
      </c>
      <c r="AG29" s="8" t="e">
        <f>ROUND(#REF!,0)</f>
        <v>#REF!</v>
      </c>
      <c r="AJ29" s="8" t="e">
        <f>ROUND(#REF!,0)</f>
        <v>#REF!</v>
      </c>
      <c r="AK29" s="8" t="e">
        <f>ROUND(#REF!,0)</f>
        <v>#REF!</v>
      </c>
      <c r="AL29" s="8" t="e">
        <f>ROUND(#REF!,0)</f>
        <v>#REF!</v>
      </c>
      <c r="AM29" s="8" t="e">
        <f>ROUND(#REF!,0)</f>
        <v>#REF!</v>
      </c>
      <c r="AN29" s="8" t="e">
        <f>ROUND(#REF!,0)</f>
        <v>#REF!</v>
      </c>
      <c r="AP29" s="191"/>
      <c r="AQ29" s="191"/>
      <c r="AR29" s="191"/>
      <c r="BC29" s="190">
        <f>IF(Table13[[#This Row],[Benefits Criteria Table
Step 1: Disadvantaged Community? (Y/N)]]="Yes",Table13[[#This Row],[Count]],0)</f>
        <v>0</v>
      </c>
      <c r="BD29" s="190">
        <f>IF(Table13[[#This Row],[Benefits Criteria Table
Step 1: Disadvantaged Community? (Y/N)]]="Yes",Table13[[#This Row],[Total GGRF Funding Amount from this Program ($)]],0)</f>
        <v>0</v>
      </c>
      <c r="BE29" s="190">
        <f>IF(Table13[[#This Row],[Benefits Criteria Table
Step 1: Low-income Community or Low-income Household? (Y/N)]]="Yes",Table13[[#This Row],[Count]],0)</f>
        <v>0</v>
      </c>
      <c r="BF29" s="190">
        <f>IF(Table13[[#This Row],[Benefits Criteria Table
Step 1: Low-income Community or Low-income Household? (Y/N)]]="Yes",Table13[[#This Row],[Total GGRF Funding Amount from this Program ($)]],0)</f>
        <v>0</v>
      </c>
      <c r="BG29" s="190">
        <f>IF(Table13[[#This Row],[Benefits Criteria Table
Step 1: Low-income 1/2-mile Buffer Region? (Y/N)]]="Yes",Table13[[#This Row],[Count]],0)</f>
        <v>0</v>
      </c>
      <c r="BH29" s="190">
        <f>IF(Table13[[#This Row],[Benefits Criteria Table
Step 1: Low-income 1/2-mile Buffer Region? (Y/N)]]="Yes",Table13[[#This Row],[Total GGRF Funding Amount from this Program ($)]],0)</f>
        <v>0</v>
      </c>
      <c r="BI29" s="2"/>
      <c r="BJ29" s="190" t="str">
        <f>IF(Table13[[#This Row],[Benefits Criteria Table
Step 1: Disadvantaged Community? (Y/N)]]="YES",IF(Table13[[#This Row],[Select a Priority Population]]="Disadvantaged Community",Table13[[#This Row],[Count]],0),"")</f>
        <v/>
      </c>
      <c r="BK29" s="190" t="str">
        <f>IF(Table13[[#This Row],[Benefits Criteria Table
Step 1: Disadvantaged Community? (Y/N)]]="YES",IF(Table13[[#This Row],[Select a Priority Population]]="Disadvantaged Community",Table13[[#This Row],[Qualifying Disadvantaged Community Benefit Amount ($)]],0),"")</f>
        <v/>
      </c>
      <c r="BL29" s="190">
        <f>IF(Table13[[#This Row],[Benefits Criteria Table
Step 1: Low-income Community or Low-income Household? (Y/N)]]="Yes",IF(Table13[[#This Row],[Select a Priority Population]]="Low-income Community",Table13[[#This Row],[Count]],0),0)</f>
        <v>0</v>
      </c>
      <c r="BM29" s="190">
        <f>IF(Table13[[#This Row],[Benefits Criteria Table
Step 1: Low-income Community or Low-income Household? (Y/N)]]="Yes",IF(Table13[[#This Row],[Select a Priority Population]]="Low-income Community",Table13[[#This Row],[Total GGRF Funding Amount from this Program ($)]],0),0)</f>
        <v>0</v>
      </c>
      <c r="BN29" s="190">
        <f>IF(Table13[[#This Row],[Benefits Criteria Table
Step 1: Low-income 1/2-mile Buffer Region? (Y/N)]]="Yes",IF(Table13[[#This Row],[Select a Priority Population]]="1/2 Mile Buffer Zone",Table13[[#This Row],[Count]],0),0)</f>
        <v>0</v>
      </c>
      <c r="BO29" s="190">
        <f>IF(Table13[[#This Row],[Benefits Criteria Table
Step 1: Low-income 1/2-mile Buffer Region? (Y/N)]]="Yes",IF(Table13[[#This Row],[Select a Priority Population]]="1/2 Mile Buffer Zone",Table13[[#This Row],[Total GGRF Funding Amount from this Program ($)]],0),0)</f>
        <v>0</v>
      </c>
      <c r="BP29" s="190">
        <f>IF(ISBLANK(Table13[[#This Row],[Project ID]]), 0, 1)</f>
        <v>0</v>
      </c>
      <c r="BQ29" s="2"/>
      <c r="BR29" s="2"/>
      <c r="BS29" s="2"/>
    </row>
    <row r="30" spans="7:71" hidden="1" x14ac:dyDescent="0.25">
      <c r="G30" s="2">
        <f>'Project Info'!D47</f>
        <v>0</v>
      </c>
      <c r="I30" s="7"/>
      <c r="J30" s="7"/>
      <c r="K30" s="7"/>
      <c r="L30" s="7">
        <f>'Project Info'!D57</f>
        <v>0</v>
      </c>
      <c r="M30" s="7"/>
      <c r="N30" s="2">
        <f>ROUND('Project Info'!D56,0)</f>
        <v>0</v>
      </c>
      <c r="O30" s="2">
        <f>ROUND('Project Info'!D53,0)</f>
        <v>0</v>
      </c>
      <c r="Q30" s="2">
        <f>ROUND('Project Info'!D55,0)</f>
        <v>0</v>
      </c>
      <c r="R30" s="7">
        <f>'Project Info'!D53</f>
        <v>0</v>
      </c>
      <c r="S30" s="8">
        <f>'Project Info'!D58</f>
        <v>0</v>
      </c>
      <c r="T30" s="8" t="e">
        <f>ROUND('Benefits Summary'!#REF!,0)</f>
        <v>#REF!</v>
      </c>
      <c r="U30" s="7">
        <f>'Project Info'!D58</f>
        <v>0</v>
      </c>
      <c r="AA30" s="8" t="e">
        <f>ROUND(#REF!,0)</f>
        <v>#REF!</v>
      </c>
      <c r="AB30" s="8" t="e">
        <f>ROUND(#REF!,0)</f>
        <v>#REF!</v>
      </c>
      <c r="AC30" s="8" t="e">
        <f>ROUND(#REF!,0)</f>
        <v>#REF!</v>
      </c>
      <c r="AD30" s="8" t="e">
        <f>ROUND(#REF!,0)</f>
        <v>#REF!</v>
      </c>
      <c r="AE30" s="8" t="e">
        <f>ROUND(#REF!,0)</f>
        <v>#REF!</v>
      </c>
      <c r="AF30" s="8" t="e">
        <f>ROUND(#REF!,0)</f>
        <v>#REF!</v>
      </c>
      <c r="AG30" s="8" t="e">
        <f>ROUND(#REF!,0)</f>
        <v>#REF!</v>
      </c>
      <c r="AJ30" s="8" t="e">
        <f>ROUND(#REF!,0)</f>
        <v>#REF!</v>
      </c>
      <c r="AK30" s="8" t="e">
        <f>ROUND(#REF!,0)</f>
        <v>#REF!</v>
      </c>
      <c r="AL30" s="8" t="e">
        <f>ROUND(#REF!,0)</f>
        <v>#REF!</v>
      </c>
      <c r="AM30" s="8" t="e">
        <f>ROUND(#REF!,0)</f>
        <v>#REF!</v>
      </c>
      <c r="AN30" s="8" t="e">
        <f>ROUND(#REF!,0)</f>
        <v>#REF!</v>
      </c>
      <c r="AP30" s="191"/>
      <c r="AQ30" s="191"/>
      <c r="AR30" s="191"/>
      <c r="BC30" s="190">
        <f>IF(Table13[[#This Row],[Benefits Criteria Table
Step 1: Disadvantaged Community? (Y/N)]]="Yes",Table13[[#This Row],[Count]],0)</f>
        <v>0</v>
      </c>
      <c r="BD30" s="190">
        <f>IF(Table13[[#This Row],[Benefits Criteria Table
Step 1: Disadvantaged Community? (Y/N)]]="Yes",Table13[[#This Row],[Total GGRF Funding Amount from this Program ($)]],0)</f>
        <v>0</v>
      </c>
      <c r="BE30" s="190">
        <f>IF(Table13[[#This Row],[Benefits Criteria Table
Step 1: Low-income Community or Low-income Household? (Y/N)]]="Yes",Table13[[#This Row],[Count]],0)</f>
        <v>0</v>
      </c>
      <c r="BF30" s="190">
        <f>IF(Table13[[#This Row],[Benefits Criteria Table
Step 1: Low-income Community or Low-income Household? (Y/N)]]="Yes",Table13[[#This Row],[Total GGRF Funding Amount from this Program ($)]],0)</f>
        <v>0</v>
      </c>
      <c r="BG30" s="190">
        <f>IF(Table13[[#This Row],[Benefits Criteria Table
Step 1: Low-income 1/2-mile Buffer Region? (Y/N)]]="Yes",Table13[[#This Row],[Count]],0)</f>
        <v>0</v>
      </c>
      <c r="BH30" s="190">
        <f>IF(Table13[[#This Row],[Benefits Criteria Table
Step 1: Low-income 1/2-mile Buffer Region? (Y/N)]]="Yes",Table13[[#This Row],[Total GGRF Funding Amount from this Program ($)]],0)</f>
        <v>0</v>
      </c>
      <c r="BI30" s="2"/>
      <c r="BJ30" s="190" t="str">
        <f>IF(Table13[[#This Row],[Benefits Criteria Table
Step 1: Disadvantaged Community? (Y/N)]]="YES",IF(Table13[[#This Row],[Select a Priority Population]]="Disadvantaged Community",Table13[[#This Row],[Count]],0),"")</f>
        <v/>
      </c>
      <c r="BK30" s="190" t="str">
        <f>IF(Table13[[#This Row],[Benefits Criteria Table
Step 1: Disadvantaged Community? (Y/N)]]="YES",IF(Table13[[#This Row],[Select a Priority Population]]="Disadvantaged Community",Table13[[#This Row],[Qualifying Disadvantaged Community Benefit Amount ($)]],0),"")</f>
        <v/>
      </c>
      <c r="BL30" s="190">
        <f>IF(Table13[[#This Row],[Benefits Criteria Table
Step 1: Low-income Community or Low-income Household? (Y/N)]]="Yes",IF(Table13[[#This Row],[Select a Priority Population]]="Low-income Community",Table13[[#This Row],[Count]],0),0)</f>
        <v>0</v>
      </c>
      <c r="BM30" s="190">
        <f>IF(Table13[[#This Row],[Benefits Criteria Table
Step 1: Low-income Community or Low-income Household? (Y/N)]]="Yes",IF(Table13[[#This Row],[Select a Priority Population]]="Low-income Community",Table13[[#This Row],[Total GGRF Funding Amount from this Program ($)]],0),0)</f>
        <v>0</v>
      </c>
      <c r="BN30" s="190">
        <f>IF(Table13[[#This Row],[Benefits Criteria Table
Step 1: Low-income 1/2-mile Buffer Region? (Y/N)]]="Yes",IF(Table13[[#This Row],[Select a Priority Population]]="1/2 Mile Buffer Zone",Table13[[#This Row],[Count]],0),0)</f>
        <v>0</v>
      </c>
      <c r="BO30" s="190">
        <f>IF(Table13[[#This Row],[Benefits Criteria Table
Step 1: Low-income 1/2-mile Buffer Region? (Y/N)]]="Yes",IF(Table13[[#This Row],[Select a Priority Population]]="1/2 Mile Buffer Zone",Table13[[#This Row],[Total GGRF Funding Amount from this Program ($)]],0),0)</f>
        <v>0</v>
      </c>
      <c r="BP30" s="190">
        <f>IF(ISBLANK(Table13[[#This Row],[Project ID]]), 0, 1)</f>
        <v>0</v>
      </c>
      <c r="BQ30" s="2"/>
      <c r="BR30" s="2"/>
      <c r="BS30" s="2"/>
    </row>
    <row r="31" spans="7:71" hidden="1" x14ac:dyDescent="0.25">
      <c r="G31" s="2">
        <f>'Project Info'!D48</f>
        <v>0</v>
      </c>
      <c r="I31" s="7"/>
      <c r="J31" s="7"/>
      <c r="K31" s="7"/>
      <c r="L31" s="7">
        <f>'Project Info'!D58</f>
        <v>0</v>
      </c>
      <c r="M31" s="7"/>
      <c r="N31" s="2">
        <f>ROUND('Project Info'!D57,0)</f>
        <v>0</v>
      </c>
      <c r="O31" s="2">
        <f>ROUND('Project Info'!D54,0)</f>
        <v>0</v>
      </c>
      <c r="Q31" s="2">
        <f>ROUND('Project Info'!D56,0)</f>
        <v>0</v>
      </c>
      <c r="R31" s="7">
        <f>'Project Info'!D54</f>
        <v>0</v>
      </c>
      <c r="S31" s="8">
        <f>'Project Info'!D59</f>
        <v>0</v>
      </c>
      <c r="T31" s="8" t="e">
        <f>ROUND('Benefits Summary'!#REF!,0)</f>
        <v>#REF!</v>
      </c>
      <c r="U31" s="7">
        <f>'Project Info'!D59</f>
        <v>0</v>
      </c>
      <c r="AA31" s="8" t="e">
        <f>ROUND(#REF!,0)</f>
        <v>#REF!</v>
      </c>
      <c r="AB31" s="8" t="e">
        <f>ROUND(#REF!,0)</f>
        <v>#REF!</v>
      </c>
      <c r="AC31" s="8" t="e">
        <f>ROUND(#REF!,0)</f>
        <v>#REF!</v>
      </c>
      <c r="AD31" s="8" t="e">
        <f>ROUND(#REF!,0)</f>
        <v>#REF!</v>
      </c>
      <c r="AE31" s="8" t="e">
        <f>ROUND(#REF!,0)</f>
        <v>#REF!</v>
      </c>
      <c r="AF31" s="8" t="e">
        <f>ROUND(#REF!,0)</f>
        <v>#REF!</v>
      </c>
      <c r="AG31" s="8" t="e">
        <f>ROUND(#REF!,0)</f>
        <v>#REF!</v>
      </c>
      <c r="AJ31" s="8" t="e">
        <f>ROUND(#REF!,0)</f>
        <v>#REF!</v>
      </c>
      <c r="AK31" s="8" t="e">
        <f>ROUND(#REF!,0)</f>
        <v>#REF!</v>
      </c>
      <c r="AL31" s="8" t="e">
        <f>ROUND(#REF!,0)</f>
        <v>#REF!</v>
      </c>
      <c r="AM31" s="8" t="e">
        <f>ROUND(#REF!,0)</f>
        <v>#REF!</v>
      </c>
      <c r="AN31" s="8" t="e">
        <f>ROUND(#REF!,0)</f>
        <v>#REF!</v>
      </c>
      <c r="AP31" s="191"/>
      <c r="AQ31" s="191"/>
      <c r="AR31" s="191"/>
      <c r="BC31" s="190">
        <f>IF(Table13[[#This Row],[Benefits Criteria Table
Step 1: Disadvantaged Community? (Y/N)]]="Yes",Table13[[#This Row],[Count]],0)</f>
        <v>0</v>
      </c>
      <c r="BD31" s="190">
        <f>IF(Table13[[#This Row],[Benefits Criteria Table
Step 1: Disadvantaged Community? (Y/N)]]="Yes",Table13[[#This Row],[Total GGRF Funding Amount from this Program ($)]],0)</f>
        <v>0</v>
      </c>
      <c r="BE31" s="190">
        <f>IF(Table13[[#This Row],[Benefits Criteria Table
Step 1: Low-income Community or Low-income Household? (Y/N)]]="Yes",Table13[[#This Row],[Count]],0)</f>
        <v>0</v>
      </c>
      <c r="BF31" s="190">
        <f>IF(Table13[[#This Row],[Benefits Criteria Table
Step 1: Low-income Community or Low-income Household? (Y/N)]]="Yes",Table13[[#This Row],[Total GGRF Funding Amount from this Program ($)]],0)</f>
        <v>0</v>
      </c>
      <c r="BG31" s="190">
        <f>IF(Table13[[#This Row],[Benefits Criteria Table
Step 1: Low-income 1/2-mile Buffer Region? (Y/N)]]="Yes",Table13[[#This Row],[Count]],0)</f>
        <v>0</v>
      </c>
      <c r="BH31" s="190">
        <f>IF(Table13[[#This Row],[Benefits Criteria Table
Step 1: Low-income 1/2-mile Buffer Region? (Y/N)]]="Yes",Table13[[#This Row],[Total GGRF Funding Amount from this Program ($)]],0)</f>
        <v>0</v>
      </c>
      <c r="BI31" s="2"/>
      <c r="BJ31" s="190" t="str">
        <f>IF(Table13[[#This Row],[Benefits Criteria Table
Step 1: Disadvantaged Community? (Y/N)]]="YES",IF(Table13[[#This Row],[Select a Priority Population]]="Disadvantaged Community",Table13[[#This Row],[Count]],0),"")</f>
        <v/>
      </c>
      <c r="BK31" s="190" t="str">
        <f>IF(Table13[[#This Row],[Benefits Criteria Table
Step 1: Disadvantaged Community? (Y/N)]]="YES",IF(Table13[[#This Row],[Select a Priority Population]]="Disadvantaged Community",Table13[[#This Row],[Qualifying Disadvantaged Community Benefit Amount ($)]],0),"")</f>
        <v/>
      </c>
      <c r="BL31" s="190">
        <f>IF(Table13[[#This Row],[Benefits Criteria Table
Step 1: Low-income Community or Low-income Household? (Y/N)]]="Yes",IF(Table13[[#This Row],[Select a Priority Population]]="Low-income Community",Table13[[#This Row],[Count]],0),0)</f>
        <v>0</v>
      </c>
      <c r="BM31" s="190">
        <f>IF(Table13[[#This Row],[Benefits Criteria Table
Step 1: Low-income Community or Low-income Household? (Y/N)]]="Yes",IF(Table13[[#This Row],[Select a Priority Population]]="Low-income Community",Table13[[#This Row],[Total GGRF Funding Amount from this Program ($)]],0),0)</f>
        <v>0</v>
      </c>
      <c r="BN31" s="190">
        <f>IF(Table13[[#This Row],[Benefits Criteria Table
Step 1: Low-income 1/2-mile Buffer Region? (Y/N)]]="Yes",IF(Table13[[#This Row],[Select a Priority Population]]="1/2 Mile Buffer Zone",Table13[[#This Row],[Count]],0),0)</f>
        <v>0</v>
      </c>
      <c r="BO31" s="190">
        <f>IF(Table13[[#This Row],[Benefits Criteria Table
Step 1: Low-income 1/2-mile Buffer Region? (Y/N)]]="Yes",IF(Table13[[#This Row],[Select a Priority Population]]="1/2 Mile Buffer Zone",Table13[[#This Row],[Total GGRF Funding Amount from this Program ($)]],0),0)</f>
        <v>0</v>
      </c>
      <c r="BP31" s="190">
        <f>IF(ISBLANK(Table13[[#This Row],[Project ID]]), 0, 1)</f>
        <v>0</v>
      </c>
      <c r="BQ31" s="2"/>
      <c r="BR31" s="2"/>
      <c r="BS31" s="2"/>
    </row>
    <row r="32" spans="7:71" hidden="1" x14ac:dyDescent="0.25">
      <c r="G32" s="2">
        <f>'Project Info'!D49</f>
        <v>0</v>
      </c>
      <c r="I32" s="7"/>
      <c r="J32" s="7"/>
      <c r="K32" s="7"/>
      <c r="L32" s="7">
        <f>'Project Info'!D59</f>
        <v>0</v>
      </c>
      <c r="M32" s="7"/>
      <c r="N32" s="2">
        <f>ROUND('Project Info'!D58,0)</f>
        <v>0</v>
      </c>
      <c r="O32" s="2">
        <f>ROUND('Project Info'!D55,0)</f>
        <v>0</v>
      </c>
      <c r="Q32" s="2">
        <f>ROUND('Project Info'!D57,0)</f>
        <v>0</v>
      </c>
      <c r="R32" s="7">
        <f>'Project Info'!D55</f>
        <v>0</v>
      </c>
      <c r="S32" s="8">
        <f>'Project Info'!D60</f>
        <v>0</v>
      </c>
      <c r="T32" s="8">
        <f>ROUND('Benefits Summary'!C43,0)</f>
        <v>0</v>
      </c>
      <c r="U32" s="7">
        <f>'Project Info'!D60</f>
        <v>0</v>
      </c>
      <c r="AA32" s="8" t="e">
        <f>ROUND(#REF!,0)</f>
        <v>#REF!</v>
      </c>
      <c r="AB32" s="8" t="e">
        <f>ROUND(#REF!,0)</f>
        <v>#REF!</v>
      </c>
      <c r="AC32" s="8" t="e">
        <f>ROUND(#REF!,0)</f>
        <v>#REF!</v>
      </c>
      <c r="AD32" s="8" t="e">
        <f>ROUND(#REF!,0)</f>
        <v>#REF!</v>
      </c>
      <c r="AE32" s="8" t="e">
        <f>ROUND(#REF!,0)</f>
        <v>#REF!</v>
      </c>
      <c r="AF32" s="8" t="e">
        <f>ROUND(#REF!,0)</f>
        <v>#REF!</v>
      </c>
      <c r="AG32" s="8" t="e">
        <f>ROUND(#REF!,0)</f>
        <v>#REF!</v>
      </c>
      <c r="AJ32" s="8" t="e">
        <f>ROUND(#REF!,0)</f>
        <v>#REF!</v>
      </c>
      <c r="AK32" s="8" t="e">
        <f>ROUND(#REF!,0)</f>
        <v>#REF!</v>
      </c>
      <c r="AL32" s="8" t="e">
        <f>ROUND(#REF!,0)</f>
        <v>#REF!</v>
      </c>
      <c r="AM32" s="8" t="e">
        <f>ROUND(#REF!,0)</f>
        <v>#REF!</v>
      </c>
      <c r="AN32" s="8" t="e">
        <f>ROUND(#REF!,0)</f>
        <v>#REF!</v>
      </c>
      <c r="AP32" s="191"/>
      <c r="AQ32" s="191"/>
      <c r="AR32" s="191"/>
      <c r="BC32" s="190">
        <f>IF(Table13[[#This Row],[Benefits Criteria Table
Step 1: Disadvantaged Community? (Y/N)]]="Yes",Table13[[#This Row],[Count]],0)</f>
        <v>0</v>
      </c>
      <c r="BD32" s="190">
        <f>IF(Table13[[#This Row],[Benefits Criteria Table
Step 1: Disadvantaged Community? (Y/N)]]="Yes",Table13[[#This Row],[Total GGRF Funding Amount from this Program ($)]],0)</f>
        <v>0</v>
      </c>
      <c r="BE32" s="190">
        <f>IF(Table13[[#This Row],[Benefits Criteria Table
Step 1: Low-income Community or Low-income Household? (Y/N)]]="Yes",Table13[[#This Row],[Count]],0)</f>
        <v>0</v>
      </c>
      <c r="BF32" s="190">
        <f>IF(Table13[[#This Row],[Benefits Criteria Table
Step 1: Low-income Community or Low-income Household? (Y/N)]]="Yes",Table13[[#This Row],[Total GGRF Funding Amount from this Program ($)]],0)</f>
        <v>0</v>
      </c>
      <c r="BG32" s="190">
        <f>IF(Table13[[#This Row],[Benefits Criteria Table
Step 1: Low-income 1/2-mile Buffer Region? (Y/N)]]="Yes",Table13[[#This Row],[Count]],0)</f>
        <v>0</v>
      </c>
      <c r="BH32" s="190">
        <f>IF(Table13[[#This Row],[Benefits Criteria Table
Step 1: Low-income 1/2-mile Buffer Region? (Y/N)]]="Yes",Table13[[#This Row],[Total GGRF Funding Amount from this Program ($)]],0)</f>
        <v>0</v>
      </c>
      <c r="BI32" s="2"/>
      <c r="BJ32" s="190" t="str">
        <f>IF(Table13[[#This Row],[Benefits Criteria Table
Step 1: Disadvantaged Community? (Y/N)]]="YES",IF(Table13[[#This Row],[Select a Priority Population]]="Disadvantaged Community",Table13[[#This Row],[Count]],0),"")</f>
        <v/>
      </c>
      <c r="BK32" s="190" t="str">
        <f>IF(Table13[[#This Row],[Benefits Criteria Table
Step 1: Disadvantaged Community? (Y/N)]]="YES",IF(Table13[[#This Row],[Select a Priority Population]]="Disadvantaged Community",Table13[[#This Row],[Qualifying Disadvantaged Community Benefit Amount ($)]],0),"")</f>
        <v/>
      </c>
      <c r="BL32" s="190">
        <f>IF(Table13[[#This Row],[Benefits Criteria Table
Step 1: Low-income Community or Low-income Household? (Y/N)]]="Yes",IF(Table13[[#This Row],[Select a Priority Population]]="Low-income Community",Table13[[#This Row],[Count]],0),0)</f>
        <v>0</v>
      </c>
      <c r="BM32" s="190">
        <f>IF(Table13[[#This Row],[Benefits Criteria Table
Step 1: Low-income Community or Low-income Household? (Y/N)]]="Yes",IF(Table13[[#This Row],[Select a Priority Population]]="Low-income Community",Table13[[#This Row],[Total GGRF Funding Amount from this Program ($)]],0),0)</f>
        <v>0</v>
      </c>
      <c r="BN32" s="190">
        <f>IF(Table13[[#This Row],[Benefits Criteria Table
Step 1: Low-income 1/2-mile Buffer Region? (Y/N)]]="Yes",IF(Table13[[#This Row],[Select a Priority Population]]="1/2 Mile Buffer Zone",Table13[[#This Row],[Count]],0),0)</f>
        <v>0</v>
      </c>
      <c r="BO32" s="190">
        <f>IF(Table13[[#This Row],[Benefits Criteria Table
Step 1: Low-income 1/2-mile Buffer Region? (Y/N)]]="Yes",IF(Table13[[#This Row],[Select a Priority Population]]="1/2 Mile Buffer Zone",Table13[[#This Row],[Total GGRF Funding Amount from this Program ($)]],0),0)</f>
        <v>0</v>
      </c>
      <c r="BP32" s="190">
        <f>IF(ISBLANK(Table13[[#This Row],[Project ID]]), 0, 1)</f>
        <v>0</v>
      </c>
      <c r="BQ32" s="2"/>
      <c r="BR32" s="2"/>
      <c r="BS32" s="2"/>
    </row>
  </sheetData>
  <sheetProtection insertRows="0" deleteRows="0" sort="0"/>
  <dataValidations count="77">
    <dataValidation allowBlank="1" showInputMessage="1" showErrorMessage="1" prompt="Reduction in emissions of reactive organic gases as a result of the project (estimated or actual).  If there is an emission increase, enter a negative number." sqref="AC2:AF2" xr:uid="{00000000-0002-0000-0C00-000000000000}"/>
    <dataValidation allowBlank="1" showInputMessage="1" showErrorMessage="1" prompt="Full-time equivalent induced jobs estimated to be supported by the project, apportioned by the ratio of GGRF monies to total project budget.  Output from Job Co-benefit Modeling Tool available at:  www.arb.ca.gov/cci-cobenefits." sqref="AR2" xr:uid="{00000000-0002-0000-0C00-000001000000}"/>
    <dataValidation allowBlank="1" showInputMessage="1" showErrorMessage="1" prompt="Full-time equivalent jobs estimated to be indirectly supported by the project, apportioned by the ratio of GGRF monies to total project budget.  Output from Job Co-benefit Modeling Tool available at:  www.arb.ca.gov/cci-cobenefits." sqref="AQ2" xr:uid="{00000000-0002-0000-0C00-000002000000}"/>
    <dataValidation allowBlank="1" showInputMessage="1" showErrorMessage="1" prompt="Full-time equivalent jobs estimated to be directly supported by the project, apportioned by the ratio of GGRF monies to total project budget.  Output from Job Co-benefit Modeling Tool available at:  www.arb.ca.gov/cci-cobenefits." sqref="AP2" xr:uid="{00000000-0002-0000-0C00-000003000000}"/>
    <dataValidation type="whole" operator="greaterThanOrEqual" allowBlank="1" showInputMessage="1" showErrorMessage="1" error="Please enter a positive whole number." sqref="AP3:AR32" xr:uid="{00000000-0002-0000-0C00-000004000000}">
      <formula1>0</formula1>
    </dataValidation>
    <dataValidation type="textLength" allowBlank="1" showInputMessage="1" showErrorMessage="1" error="Please enter text less than 300 characters." sqref="AS3:AS32" xr:uid="{00000000-0002-0000-0C00-000005000000}">
      <formula1>0</formula1>
      <formula2>300</formula2>
    </dataValidation>
    <dataValidation allowBlank="1" showInputMessage="1" showErrorMessage="1" prompt="Date that the project was selected for GGRF funding. " sqref="J2" xr:uid="{00000000-0002-0000-0C00-000006000000}"/>
    <dataValidation allowBlank="1" showInputMessage="1" showErrorMessage="1" prompt="Date administering agency committed funding to a project (e.g., executed a contract with a grantee; transferred funds to an agency/program administrator)." sqref="K2" xr:uid="{00000000-0002-0000-0C00-000007000000}"/>
    <dataValidation allowBlank="1" showInputMessage="1" showErrorMessage="1" prompt="Date contract or grant agreement ends, all incentive funds are expended, or all project activities are complete. For most capital projects, date construction is completed and the improvements/equipment become(s) operational (anticipated or actual)" sqref="L2" xr:uid="{00000000-0002-0000-0C00-000008000000}"/>
    <dataValidation allowBlank="1" showInputMessage="1" showErrorMessage="1" prompt="As defined by the CARB Community Engagement Assessment Methodology. Select &quot;High&quot;, &quot;Medium&quot;, or &quot;Low&quot; from the drop down or leave blank." sqref="AI2" xr:uid="{00000000-0002-0000-0C00-000009000000}"/>
    <dataValidation allowBlank="1" showInputMessage="1" showErrorMessage="1" prompt="As defined in the CARB CCI Climate Adaptation Assessment Methodology. Selected from drop-down or leave blank." sqref="AH2" xr:uid="{00000000-0002-0000-0C00-00000A000000}"/>
    <dataValidation allowBlank="1" showInputMessage="1" showErrorMessage="1" prompt="As calculated in the CARB Benefits Calculator Tool using the Energy and Fuel Cost Savings Assessment Methodology; savings should be reported as a positive dollar value and cost increases should be reported as a negative dollar value." sqref="AG2" xr:uid="{00000000-0002-0000-0C00-00000B000000}"/>
    <dataValidation allowBlank="1" showInputMessage="1" showErrorMessage="1" prompt="The amount of matching funds the project received." sqref="Q2" xr:uid="{00000000-0002-0000-0C00-00000C000000}"/>
    <dataValidation allowBlank="1" showInputMessage="1" showErrorMessage="1" error="Please enter a whole number." prompt="Renewable energy generated as a result of this project, in kWh (estimated or actual). " sqref="AN2" xr:uid="{00000000-0002-0000-0C00-00000D000000}"/>
    <dataValidation allowBlank="1" showInputMessage="1" showErrorMessage="1" error="Please enter a whole number." prompt="Number of estimated acres preserved by conservation easements as a result of this project (estimated or actual)." sqref="AO2" xr:uid="{00000000-0002-0000-0C00-00000E000000}"/>
    <dataValidation allowBlank="1" showInputMessage="1" showErrorMessage="1" prompt="Gallons of water saved as result of the project (estimated or actual)." sqref="AM2" xr:uid="{00000000-0002-0000-0C00-00000F000000}"/>
    <dataValidation allowBlank="1" showInputMessage="1" showErrorMessage="1" prompt="Autopopulated with the amount of project funding that benefits disadvantaged communities and was selected to count towards the investment minimums. " sqref="BK2" xr:uid="{00000000-0002-0000-0C00-000010000000}"/>
    <dataValidation allowBlank="1" showInputMessage="1" showErrorMessage="1" prompt="Autopopulated with the number of projects that benefit disadvantaged communities and were selected to count towards the investment minimums. " sqref="BJ2" xr:uid="{00000000-0002-0000-0C00-000011000000}"/>
    <dataValidation allowBlank="1" showInputMessage="1" showErrorMessage="1" prompt="Autopopulated with the amount of project funding that benefits low-income 1/2-mile buffer regions and was selected to count towards the investment minimums. " sqref="BO2" xr:uid="{00000000-0002-0000-0C00-000012000000}"/>
    <dataValidation allowBlank="1" showInputMessage="1" showErrorMessage="1" prompt="Autopopulated with the number of projects that benefit low-income 1/2-mile buffer regions and were selected to count towards the investment minimums. " sqref="BN2" xr:uid="{00000000-0002-0000-0C00-000013000000}"/>
    <dataValidation allowBlank="1" showInputMessage="1" showErrorMessage="1" prompt="Autopopulated with the amount of project funding that benefits low-income communities or households and was selected to count towards the investment minimums. " sqref="BM2" xr:uid="{00000000-0002-0000-0C00-000014000000}"/>
    <dataValidation allowBlank="1" showInputMessage="1" showErrorMessage="1" prompt="Autopopulated with the number of projects that benefit low-income communities or households and were selected to count towards the investment minimums. " sqref="BL2" xr:uid="{00000000-0002-0000-0C00-000015000000}"/>
    <dataValidation allowBlank="1" showInputMessage="1" showErrorMessage="1" prompt="Choose which priority population that the project should count as benefiting. Monies may count towards only one priority population. It is up to the reporting agency to select which category a given project should count towards." sqref="BI2" xr:uid="{00000000-0002-0000-0C00-000016000000}"/>
    <dataValidation allowBlank="1" showInputMessage="1" showErrorMessage="1" prompt="The maximum potential amount of project funding that meets the requirements to benefit low-income communities or low-income households outside of but within 1/2-mile of a DAC and are chosen to count towards the investment minimums. Round to the nearest $." sqref="BH2" xr:uid="{00000000-0002-0000-0C00-000017000000}"/>
    <dataValidation allowBlank="1" showInputMessage="1" showErrorMessage="1" prompt="The maximum potential number of projects that meet the requirements to benefit 1/2-mile low-income buffer regions and are chosen to count towards the investment minimums. " sqref="BG2" xr:uid="{00000000-0002-0000-0C00-000018000000}"/>
    <dataValidation allowBlank="1" showInputMessage="1" showErrorMessage="1" prompt="The maximum potential amount of project funding that meets the requirements to benefit low-income communities or households and are eligible to count towards the investment minimums.  Round to the nearest whole dollar." sqref="BF2" xr:uid="{00000000-0002-0000-0C00-000019000000}"/>
    <dataValidation allowBlank="1" showInputMessage="1" showErrorMessage="1" prompt="The maximum potential number of projects that meet the requirements to benefit low-income communities or households and are eligible to count towards the investment minimums. " sqref="BE2" xr:uid="{00000000-0002-0000-0C00-00001A000000}"/>
    <dataValidation allowBlank="1" showInputMessage="1" showErrorMessage="1" prompt="The maximum potential amount of project funding that meets the requirements to benefit disadvantaged communities and are eligible to count towards the investment minimums.  Round to the nearest whole dollar." sqref="BD2" xr:uid="{00000000-0002-0000-0C00-00001B000000}"/>
    <dataValidation allowBlank="1" showInputMessage="1" showErrorMessage="1" prompt="The maximum potential number of projects that meet the requirements to benefit disadvantaged communities and are eligible to count towards the investment minimums. " sqref="BC2" xr:uid="{00000000-0002-0000-0C00-00001C000000}"/>
    <dataValidation allowBlank="1" showInputMessage="1" showErrorMessage="1" prompt="Qualitative description of any benefits that the project provides to priority populations.  Also, provide additional details on how the project benefits relate to identified community need(s). " sqref="BB2" xr:uid="{00000000-0002-0000-0C00-00001D000000}"/>
    <dataValidation allowBlank="1" showInputMessage="1" showErrorMessage="1" prompt="Select the Step 3 option from the selected Benefit Criteria Table used to demonstrate that the project provided a benefit to priority populations. " sqref="BA2" xr:uid="{00000000-0002-0000-0C00-00001E000000}"/>
    <dataValidation allowBlank="1" showInputMessage="1" showErrorMessage="1" prompt="Detailed description of the identified community need(s) and how the project meets the need(s), including the level of community engagement. " sqref="AZ2" xr:uid="{00000000-0002-0000-0C00-00001F000000}"/>
    <dataValidation allowBlank="1" showInputMessage="1" showErrorMessage="1" prompt="Select the Step 2 option from the Benefit Criteria Table used to identify a community need." sqref="AY2" xr:uid="{00000000-0002-0000-0C00-000020000000}"/>
    <dataValidation allowBlank="1" showInputMessage="1" showErrorMessage="1" prompt="Select the Benefit Criteria Table used to evaluate the project for benefit to priority populations.  See the Funding Guidelines for guidance on using Benefit Criteria Tables." sqref="AU2" xr:uid="{00000000-0002-0000-0C00-000021000000}"/>
    <dataValidation allowBlank="1" showInputMessage="1" showErrorMessage="1" prompt="Indicate if the project is within and provides benefit to a low-income community or low-income household outside of but within 1/2-mile of a disadvantaged community (Yes or No). See Funding Guidelines for more information about community-type definitions." sqref="AX2" xr:uid="{00000000-0002-0000-0C00-000022000000}"/>
    <dataValidation allowBlank="1" showInputMessage="1" showErrorMessage="1" prompt="Indicate if the project is within and provides benefit to a low-income community or low-income household (Yes or No).  See the Funding Guidelines for identification of low-income communities and low-income households." sqref="AW2" xr:uid="{00000000-0002-0000-0C00-000023000000}"/>
    <dataValidation allowBlank="1" showInputMessage="1" showErrorMessage="1" prompt="Indicate if the project is within and provides benefit to a disadvantaged community (Yes or No).  See the Funding Guidelines for identification disadvantaged communities." sqref="AV2" xr:uid="{00000000-0002-0000-0C00-000024000000}"/>
    <dataValidation allowBlank="1" showInputMessage="1" showErrorMessage="1" prompt="Version number of CalEnviroScreen that was applicable when the project was selected for funding. " sqref="AT2" xr:uid="{00000000-0002-0000-0C00-000025000000}"/>
    <dataValidation type="textLength" allowBlank="1" showInputMessage="1" showErrorMessage="1" error="Please enter 300 or fewer characters." prompt="Qualitative description of any project co-benefits. 300 character limit." sqref="AS2" xr:uid="{00000000-0002-0000-0C00-000026000000}">
      <formula1>0</formula1>
      <formula2>300</formula2>
    </dataValidation>
    <dataValidation allowBlank="1" showInputMessage="1" showErrorMessage="1" prompt="Indicate if the project includes measures that are identified in the Scoping Plan (Yes or No)." sqref="Y2" xr:uid="{00000000-0002-0000-0C00-000027000000}"/>
    <dataValidation allowBlank="1" showInputMessage="1" showErrorMessage="1" prompt="If yes to previous, describe.  If multiple, separate each with a semicolon." sqref="X2" xr:uid="{00000000-0002-0000-0C00-000028000000}"/>
    <dataValidation allowBlank="1" showInputMessage="1" showErrorMessage="1" prompt="Indicate if the project supports other State polices, plans, or initiatives (Yes or No)." sqref="W2" xr:uid="{00000000-0002-0000-0C00-000029000000}"/>
    <dataValidation allowBlank="1" showInputMessage="1" showErrorMessage="1" prompt="If applicable, Governor's Pillars this project contributes to.  If multiple Pillars, separate with a semicolon (i.e., 2;4).  See the following website for additional information about the Governor's Pillars:  www.arb.ca.gov/cc/pillars/pillars.htm." sqref="V2" xr:uid="{00000000-0002-0000-0C00-00002A000000}"/>
    <dataValidation allowBlank="1" showInputMessage="1" showErrorMessage="1" prompt="Energy saved as a result of this project, in therms (estimated or actual).  Only report direct reductions, do not include estimate of fossil fuel based energy displaced by generation of renewable energy." sqref="AL2" xr:uid="{00000000-0002-0000-0C00-00002B000000}"/>
    <dataValidation allowBlank="1" showInputMessage="1" showErrorMessage="1" prompt="Energy saved as a result of this project, in kWh (estimated or actual).  Only report direct reductions, do not include estimate of fossil fuel based energy displaced by generation of renewable energy." sqref="AK2" xr:uid="{00000000-0002-0000-0C00-00002C000000}"/>
    <dataValidation allowBlank="1" showInputMessage="1" showErrorMessage="1" prompt="Gallons of fossil fuel reductions as a result of this project (estimated or actual).  Only report direct reductions, do not include estimate of fossil fuel based transportation fuels displaced by generation of renewable fuels." sqref="AJ2" xr:uid="{00000000-0002-0000-0C00-00002D000000}"/>
    <dataValidation allowBlank="1" showInputMessage="1" showErrorMessage="1" prompt="Reduction in emissions particulate matter less than 2.5 microns in diameter as a result of the project (estimated or actual).  If there is an emission increase, enter a negative number." sqref="AB2" xr:uid="{00000000-0002-0000-0C00-00002E000000}"/>
    <dataValidation allowBlank="1" showInputMessage="1" showErrorMessage="1" prompt="Reduction in emissions of nitrogen oxides as a result of the project (estimated or actual).  If there is an emission increase, enter a negative number." sqref="AA2" xr:uid="{00000000-0002-0000-0C00-00002F000000}"/>
    <dataValidation allowBlank="1" showInputMessage="1" showErrorMessage="1" prompt="Reduction in emissions of diesel particulate matter as a result of the project (estimated or actual).  If there is an emission increase, enter a negative number." sqref="Z2" xr:uid="{00000000-0002-0000-0C00-000030000000}"/>
    <dataValidation allowBlank="1" showInputMessage="1" showErrorMessage="1" prompt="Date that the project is expected to begin providing GHG emission reductions.  For projects with multiple components, enter the earliest date a component is expected to provide GHG emission reductions." sqref="U2" xr:uid="{00000000-0002-0000-0C00-000031000000}"/>
    <dataValidation allowBlank="1" showInputMessage="1" showErrorMessage="1" prompt="Estimated total project GHG emission reductions in metric tons of CO2e over the project quantification period. The agency or the applicant calculates the total GHG emission reductions for the project using the CARB Quantification Methodology." sqref="T2" xr:uid="{00000000-0002-0000-0C00-000032000000}"/>
    <dataValidation allowBlank="1" showInputMessage="1" showErrorMessage="1" prompt="Number of years where the project will provide GHG emission reductions.  This is usually defined in the CARB Quantification Methodology.  Round to nearest whole year. " sqref="S2" xr:uid="{00000000-0002-0000-0C00-000033000000}"/>
    <dataValidation allowBlank="1" showInputMessage="1" showErrorMessage="1" prompt="Publication date of the CARB Quantification Methodology used to estimate the GHG emission reductions for the project when the project was selected for funding." sqref="R2" xr:uid="{00000000-0002-0000-0C00-000034000000}"/>
    <dataValidation allowBlank="1" showInputMessage="1" showErrorMessage="1" prompt="Fiscal Year(s) of the GGRF appropriation that is funding the project.  Separate with &quot;;&quot; if more than one. " sqref="P2" xr:uid="{00000000-0002-0000-0C00-000035000000}"/>
    <dataValidation allowBlank="1" showInputMessage="1" showErrorMessage="1" prompt="GGRF monies that the project was awarded by this program.  If additional funds were provided from other GGRF sources, do not include them here.  Round to the nearest whole dollar. " sqref="O2" xr:uid="{00000000-0002-0000-0C00-000036000000}"/>
    <dataValidation allowBlank="1" showInputMessage="1" showErrorMessage="1" prompt="Total project cost, including GGRF and non-GGRF monies.  Round to the nearest whole dollar." sqref="N2" xr:uid="{00000000-0002-0000-0C00-000037000000}"/>
    <dataValidation allowBlank="1" showInputMessage="1" showErrorMessage="1" prompt="Date (anticipated or actual) that the project is operational (i.e., reached the milestone specified in the appropriate project outcome reporting table." sqref="M2" xr:uid="{00000000-0002-0000-0C00-000038000000}"/>
    <dataValidation allowBlank="1" showInputMessage="1" showErrorMessage="1" prompt="Concurrence date for the Expenditure Record that was applicable when the project was selected for funding.  For Expenditure Records without a concurrence date, this is the public posting date." sqref="I2" xr:uid="{00000000-0002-0000-0C00-000039000000}"/>
    <dataValidation allowBlank="1" showInputMessage="1" showErrorMessage="1" prompt="If available, the latitude and longitude of the project in decimal degrees separated by a comma &quot;,&quot; (e.g., 34.413775, -119.848624).  For multiple locations, list each separated by a semicolon &quot;;&quot; (e.g., 34.413775, -119.848624; 34.413775, -119.848888)." sqref="H2" xr:uid="{00000000-0002-0000-0C00-00003A000000}"/>
    <dataValidation allowBlank="1" showInputMessage="1" showErrorMessage="1" prompt="The street address of the project.  Address must be complete and include Street Address, City, State, and Zip Code." sqref="G2" xr:uid="{00000000-0002-0000-0C00-00003B000000}"/>
    <dataValidation allowBlank="1" showInputMessage="1" showErrorMessage="1" prompt="Brief description of the project." sqref="F2" xr:uid="{00000000-0002-0000-0C00-00003C000000}"/>
    <dataValidation allowBlank="1" showInputMessage="1" showErrorMessage="1" prompt="Type of project as defined by the administering agency.  This is usually defined in the CARB Quantification Methodology." sqref="E2" xr:uid="{00000000-0002-0000-0C00-00003D000000}"/>
    <dataValidation allowBlank="1" showInputMessage="1" showErrorMessage="1" prompt="Name assigned to the project by the administering agency or by the funding awardee." sqref="D2" xr:uid="{00000000-0002-0000-0C00-00003E000000}"/>
    <dataValidation allowBlank="1" showInputMessage="1" showErrorMessage="1" prompt="Unique project identifier assigned to the project by the administering agency. " sqref="C2" xr:uid="{00000000-0002-0000-0C00-00003F000000}"/>
    <dataValidation allowBlank="1" showInputMessage="1" showErrorMessage="1" prompt="Subprogram as defined by the administering agency." sqref="B2" xr:uid="{00000000-0002-0000-0C00-000040000000}"/>
    <dataValidation allowBlank="1" showInputMessage="1" showErrorMessage="1" prompt="The name of the administering agency." sqref="A2" xr:uid="{00000000-0002-0000-0C00-000041000000}"/>
    <dataValidation type="textLength" operator="lessThan" allowBlank="1" showInputMessage="1" showErrorMessage="1" sqref="AZ3:AZ32" xr:uid="{00000000-0002-0000-0C00-000042000000}">
      <formula1>1200</formula1>
    </dataValidation>
    <dataValidation type="textLength" operator="lessThan" allowBlank="1" showInputMessage="1" showErrorMessage="1" error="Please enter fewer than 1200 characters." sqref="BB3:BB32" xr:uid="{00000000-0002-0000-0C00-000043000000}">
      <formula1>1200</formula1>
    </dataValidation>
    <dataValidation type="whole" allowBlank="1" showInputMessage="1" showErrorMessage="1" error="Please enter a positive number." sqref="S3:S32" xr:uid="{00000000-0002-0000-0C00-000044000000}">
      <formula1>0</formula1>
      <formula2>100</formula2>
    </dataValidation>
    <dataValidation type="textLength" allowBlank="1" showInputMessage="1" showErrorMessage="1" error="Please enter fewer than 20 characters." sqref="P3:P32" xr:uid="{00000000-0002-0000-0C00-000045000000}">
      <formula1>0</formula1>
      <formula2>20</formula2>
    </dataValidation>
    <dataValidation type="date" operator="greaterThan" allowBlank="1" showInputMessage="1" showErrorMessage="1" error="Please enter a valid date in MM/DD/YYYY format." sqref="L4:L32 R4:R32 I3:K32 M3:M32 U4:U32" xr:uid="{00000000-0002-0000-0C00-000046000000}">
      <formula1>36526</formula1>
    </dataValidation>
    <dataValidation type="textLength" allowBlank="1" showInputMessage="1" showErrorMessage="1" error="Please enter between 0 and 1200 characters." sqref="H3:H32" xr:uid="{00000000-0002-0000-0C00-000047000000}">
      <formula1>0</formula1>
      <formula2>1200</formula2>
    </dataValidation>
    <dataValidation type="textLength" allowBlank="1" showInputMessage="1" showErrorMessage="1" sqref="F3:F32" xr:uid="{00000000-0002-0000-0C00-000048000000}">
      <formula1>0</formula1>
      <formula2>1200</formula2>
    </dataValidation>
    <dataValidation type="textLength" allowBlank="1" showInputMessage="1" showErrorMessage="1" sqref="A3:E32 G3:G32" xr:uid="{00000000-0002-0000-0C00-000049000000}">
      <formula1>0</formula1>
      <formula2>254</formula2>
    </dataValidation>
    <dataValidation allowBlank="1" showInputMessage="1" showErrorMessage="1" error="Please enter a positive whole number." sqref="N3:O3 Q3" xr:uid="{00000000-0002-0000-0C00-00004A000000}"/>
    <dataValidation allowBlank="1" showInputMessage="1" showErrorMessage="1" error="Please enter a whole number. " sqref="T3" xr:uid="{00000000-0002-0000-0C00-00004B000000}"/>
    <dataValidation operator="greaterThan" allowBlank="1" showInputMessage="1" showErrorMessage="1" error="Please enter a valid date in MM/DD/YYYY format." sqref="L3 R3 U3" xr:uid="{00000000-0002-0000-0C00-00004C000000}"/>
  </dataValidation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14">
        <x14:dataValidation type="textLength" allowBlank="1" showInputMessage="1" showErrorMessage="1" xr:uid="{00000000-0002-0000-0C00-00004D000000}">
          <x14:formula1>
            <xm:f>'C:\Users\jtipton\AppData\Local\Microsoft\Windows\INetCache\Content.Outlook\W2VXDYV1\[agenergy.xlsx]Data Validation'!#REF!</xm:f>
          </x14:formula1>
          <x14:formula2>
            <xm:f>1200</xm:f>
          </x14:formula2>
          <xm:sqref>X3:X32</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2 options." xr:uid="{00000000-0002-0000-0C00-00004E000000}">
          <x14:formula1>
            <xm:f>INDIRECT('C:\Users\jtipton\AppData\Local\Microsoft\Windows\INetCache\Content.Outlook\W2VXDYV1\[agenergy.xlsx]Dependent Tables'!#REF!)</xm:f>
          </x14:formula1>
          <xm:sqref>AY3</xm:sqref>
        </x14:dataValidation>
        <x14:dataValidation type="list" errorStyle="warning" allowBlank="1" showInputMessage="1" showErrorMessage="1" error="Please enter a value from the dropdown list. If the desired value is not available, you may overwrite with the desired value. Please note: the value must match the selected benefit criteria table step 3 options." xr:uid="{00000000-0002-0000-0C00-00004F000000}">
          <x14:formula1>
            <xm:f>INDIRECT('C:\Users\jtipton\AppData\Local\Microsoft\Windows\INetCache\Content.Outlook\W2VXDYV1\[agenergy.xlsx]Dependent Tables'!#REF!)</xm:f>
          </x14:formula1>
          <xm:sqref>BA3:BA32</xm:sqref>
        </x14:dataValidation>
        <x14:dataValidation type="list" errorStyle="warning" allowBlank="1" showInputMessage="1" showErrorMessage="1" error="Please enter a value from the dropdown list. If the value is not available, you may overwrite with the desired value. Please note: the value must match the selected benefit criteria table step 2 options." xr:uid="{00000000-0002-0000-0C00-000050000000}">
          <x14:formula1>
            <xm:f>INDIRECT('C:\Users\jtipton\AppData\Local\Microsoft\Windows\INetCache\Content.Outlook\W2VXDYV1\[agenergy.xlsx]Dependent Tables'!#REF!)</xm:f>
          </x14:formula1>
          <xm:sqref>AY4:AY32</xm:sqref>
        </x14:dataValidation>
        <x14:dataValidation type="whole" allowBlank="1" showInputMessage="1" showErrorMessage="1" error="Please enter a whole number." xr:uid="{00000000-0002-0000-0C00-000051000000}">
          <x14:formula1>
            <xm:f>0</xm:f>
          </x14:formula1>
          <x14:formula2>
            <xm:f>'C:\Users\jtipton\AppData\Local\Microsoft\Windows\INetCache\Content.Outlook\W2VXDYV1\[agenergy.xlsx]Data Validation'!#REF!</xm:f>
          </x14:formula2>
          <xm:sqref>AN4:AN32</xm:sqref>
        </x14:dataValidation>
        <x14:dataValidation type="list" errorStyle="warning" allowBlank="1" showInputMessage="1" showErrorMessage="1" error="Please select a Benefit Criteria Table from the list, or write-in another valid Benefit Criteria Table name." xr:uid="{00000000-0002-0000-0C00-000052000000}">
          <x14:formula1>
            <xm:f>'C:\Users\jtipton\AppData\Local\Microsoft\Windows\INetCache\Content.Outlook\W2VXDYV1\[agenergy.xlsx]Data Validation'!#REF!</xm:f>
          </x14:formula1>
          <xm:sqref>AU3:AU32</xm:sqref>
        </x14:dataValidation>
        <x14:dataValidation type="textLength" allowBlank="1" showInputMessage="1" showErrorMessage="1" error="Please enter fewer than 100 characters." xr:uid="{00000000-0002-0000-0C00-000053000000}">
          <x14:formula1>
            <xm:f>0</xm:f>
          </x14:formula1>
          <x14:formula2>
            <xm:f>'C:\Users\jtipton\AppData\Local\Microsoft\Windows\INetCache\Content.Outlook\W2VXDYV1\[agenergy.xlsx]Data Validation'!#REF!</xm:f>
          </x14:formula2>
          <xm:sqref>V3:V32</xm:sqref>
        </x14:dataValidation>
        <x14:dataValidation type="whole" allowBlank="1" showInputMessage="1" showErrorMessage="1" error="Please enter a whole number. " xr:uid="{00000000-0002-0000-0C00-000054000000}">
          <x14:formula1>
            <xm:f>'C:\Users\jtipton\AppData\Local\Microsoft\Windows\INetCache\Content.Outlook\W2VXDYV1\[agenergy.xlsx]Data Validation'!#REF!</xm:f>
          </x14:formula1>
          <x14:formula2>
            <xm:f>'C:\Users\jtipton\AppData\Local\Microsoft\Windows\INetCache\Content.Outlook\W2VXDYV1\[agenergy.xlsx]Data Validation'!#REF!</xm:f>
          </x14:formula2>
          <xm:sqref>T4:T32</xm:sqref>
        </x14:dataValidation>
        <x14:dataValidation type="whole" allowBlank="1" showInputMessage="1" showErrorMessage="1" error="Please enter a whole number." xr:uid="{00000000-0002-0000-0C00-000055000000}">
          <x14:formula1>
            <xm:f>'C:\Users\jtipton\AppData\Local\Microsoft\Windows\INetCache\Content.Outlook\W2VXDYV1\[agenergy.xlsx]Data Validation'!#REF!</xm:f>
          </x14:formula1>
          <x14:formula2>
            <xm:f>'C:\Users\jtipton\AppData\Local\Microsoft\Windows\INetCache\Content.Outlook\W2VXDYV1\[agenergy.xlsx]Data Validation'!#REF!</xm:f>
          </x14:formula2>
          <xm:sqref>Z4:AG32 AJ4:AM32</xm:sqref>
        </x14:dataValidation>
        <x14:dataValidation type="list" allowBlank="1" showInputMessage="1" showErrorMessage="1" error="Please select from drop down." xr:uid="{00000000-0002-0000-0C00-000056000000}">
          <x14:formula1>
            <xm:f>'C:\Users\jtipton\AppData\Local\Microsoft\Windows\INetCache\Content.Outlook\W2VXDYV1\[agenergy.xlsx]Data Validation'!#REF!</xm:f>
          </x14:formula1>
          <xm:sqref>AH3:AI32</xm:sqref>
        </x14:dataValidation>
        <x14:dataValidation type="whole" allowBlank="1" showInputMessage="1" showErrorMessage="1" error="Please enter a positive whole number." xr:uid="{00000000-0002-0000-0C00-000057000000}">
          <x14:formula1>
            <xm:f>0</xm:f>
          </x14:formula1>
          <x14:formula2>
            <xm:f>'C:\Users\jtipton\AppData\Local\Microsoft\Windows\INetCache\Content.Outlook\W2VXDYV1\[agenergy.xlsx]Data Validation'!#REF!</xm:f>
          </x14:formula2>
          <xm:sqref>N4:O32 AO3:AO32 Q4:Q32</xm:sqref>
        </x14:dataValidation>
        <x14:dataValidation type="list" allowBlank="1" showInputMessage="1" showErrorMessage="1" error="Please select a priority population category from the dropdown." xr:uid="{00000000-0002-0000-0C00-000058000000}">
          <x14:formula1>
            <xm:f>'C:\Users\jtipton\AppData\Local\Microsoft\Windows\INetCache\Content.Outlook\W2VXDYV1\[agenergy.xlsx]Data Validation'!#REF!</xm:f>
          </x14:formula1>
          <xm:sqref>BI3:BI32</xm:sqref>
        </x14:dataValidation>
        <x14:dataValidation type="list" allowBlank="1" showInputMessage="1" showErrorMessage="1" error="Please select an input from the dropdown." xr:uid="{00000000-0002-0000-0C00-000059000000}">
          <x14:formula1>
            <xm:f>'C:\Users\jtipton\AppData\Local\Microsoft\Windows\INetCache\Content.Outlook\W2VXDYV1\[agenergy.xlsx]Data Validation'!#REF!</xm:f>
          </x14:formula1>
          <xm:sqref>AT3:AT32</xm:sqref>
        </x14:dataValidation>
        <x14:dataValidation type="list" allowBlank="1" showInputMessage="1" showErrorMessage="1" error="Please select 'Yes' or 'No' from the dropdown." xr:uid="{00000000-0002-0000-0C00-00005A000000}">
          <x14:formula1>
            <xm:f>'C:\Users\jtipton\AppData\Local\Microsoft\Windows\INetCache\Content.Outlook\W2VXDYV1\[agenergy.xlsx]Data Validation'!#REF!</xm:f>
          </x14:formula1>
          <xm:sqref>Y3:Y32 W3:W32 AV3:AX32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T184"/>
  <sheetViews>
    <sheetView showGridLines="0" zoomScaleNormal="100" workbookViewId="0"/>
  </sheetViews>
  <sheetFormatPr defaultColWidth="9.140625" defaultRowHeight="15" customHeight="1" x14ac:dyDescent="0.25"/>
  <cols>
    <col min="1" max="1" width="4.28515625" style="9" customWidth="1"/>
    <col min="2" max="2" width="8.5703125" style="9" customWidth="1"/>
    <col min="3" max="3" width="47" style="9" customWidth="1"/>
    <col min="4" max="4" width="105.28515625" style="9" customWidth="1"/>
    <col min="5" max="5" width="2.85546875" style="9" customWidth="1"/>
    <col min="6" max="16384" width="9.140625" style="9"/>
  </cols>
  <sheetData>
    <row r="1" spans="2:12" ht="20.100000000000001" customHeight="1" x14ac:dyDescent="0.25">
      <c r="B1" s="22"/>
      <c r="C1" s="22"/>
      <c r="D1" s="22"/>
    </row>
    <row r="2" spans="2:12" ht="15" customHeight="1" x14ac:dyDescent="0.25">
      <c r="B2" s="23"/>
      <c r="C2" s="23"/>
      <c r="D2" s="23"/>
    </row>
    <row r="3" spans="2:12" ht="20.100000000000001" customHeight="1" x14ac:dyDescent="0.25">
      <c r="B3" s="22"/>
      <c r="C3" s="22"/>
      <c r="D3" s="22"/>
    </row>
    <row r="4" spans="2:12" ht="20.100000000000001" customHeight="1" x14ac:dyDescent="0.25">
      <c r="B4" s="236"/>
      <c r="C4" s="236"/>
      <c r="D4" s="236"/>
    </row>
    <row r="5" spans="2:12" ht="15" customHeight="1" x14ac:dyDescent="0.25">
      <c r="B5" s="237"/>
      <c r="C5" s="237"/>
      <c r="D5" s="237"/>
    </row>
    <row r="6" spans="2:12" ht="15" customHeight="1" x14ac:dyDescent="0.25">
      <c r="B6" s="181"/>
      <c r="C6" s="181"/>
      <c r="D6" s="181"/>
    </row>
    <row r="7" spans="2:12" ht="20.100000000000001" customHeight="1" x14ac:dyDescent="0.25">
      <c r="B7" s="22"/>
      <c r="C7" s="22"/>
      <c r="D7" s="22"/>
    </row>
    <row r="9" spans="2:12" ht="15" customHeight="1" x14ac:dyDescent="0.25">
      <c r="B9" s="11" t="s">
        <v>8</v>
      </c>
      <c r="C9" s="11"/>
      <c r="D9" s="13"/>
    </row>
    <row r="10" spans="2:12" s="31" customFormat="1" ht="15.75" x14ac:dyDescent="0.25">
      <c r="B10" s="290" t="s">
        <v>475</v>
      </c>
      <c r="C10" s="343"/>
      <c r="D10" s="344"/>
      <c r="E10" s="9"/>
      <c r="F10" s="9"/>
      <c r="G10" s="9"/>
      <c r="H10" s="9"/>
      <c r="I10" s="9"/>
      <c r="J10" s="9"/>
      <c r="K10" s="9"/>
      <c r="L10" s="9"/>
    </row>
    <row r="11" spans="2:12" s="31" customFormat="1" ht="15.75" x14ac:dyDescent="0.25">
      <c r="B11" s="666" t="s">
        <v>648</v>
      </c>
      <c r="C11" s="341"/>
      <c r="D11" s="342"/>
      <c r="E11" s="9"/>
      <c r="F11" s="9"/>
      <c r="G11" s="9"/>
      <c r="H11" s="9"/>
      <c r="I11" s="9"/>
      <c r="J11" s="9"/>
      <c r="K11" s="9"/>
      <c r="L11" s="9"/>
    </row>
    <row r="12" spans="2:12" ht="15" customHeight="1" x14ac:dyDescent="0.25">
      <c r="B12" s="32"/>
      <c r="C12" s="32"/>
      <c r="D12" s="33"/>
    </row>
    <row r="13" spans="2:12" ht="15" hidden="1" customHeight="1" x14ac:dyDescent="0.25">
      <c r="B13" s="34" t="s">
        <v>9</v>
      </c>
      <c r="C13" s="34"/>
      <c r="D13" s="33"/>
    </row>
    <row r="14" spans="2:12" ht="15" hidden="1" customHeight="1" x14ac:dyDescent="0.25">
      <c r="B14" s="332" t="s">
        <v>550</v>
      </c>
      <c r="C14" s="332"/>
      <c r="D14" s="332"/>
    </row>
    <row r="15" spans="2:12" ht="19.5" hidden="1" customHeight="1" x14ac:dyDescent="0.25">
      <c r="B15" s="332" t="s">
        <v>562</v>
      </c>
      <c r="C15" s="332"/>
      <c r="D15" s="332"/>
    </row>
    <row r="16" spans="2:12" ht="15" hidden="1" customHeight="1" x14ac:dyDescent="0.25">
      <c r="B16" s="332" t="s">
        <v>543</v>
      </c>
      <c r="C16" s="493"/>
      <c r="D16" s="331"/>
      <c r="E16" s="35"/>
    </row>
    <row r="17" spans="2:5" ht="15" hidden="1" customHeight="1" x14ac:dyDescent="0.25">
      <c r="C17" s="581" t="s">
        <v>544</v>
      </c>
      <c r="D17" s="331"/>
      <c r="E17" s="35"/>
    </row>
    <row r="18" spans="2:5" ht="15" hidden="1" customHeight="1" x14ac:dyDescent="0.25">
      <c r="B18" s="36"/>
      <c r="C18" s="36"/>
      <c r="D18" s="33"/>
    </row>
    <row r="19" spans="2:5" ht="15" customHeight="1" x14ac:dyDescent="0.25">
      <c r="B19" s="332" t="s">
        <v>375</v>
      </c>
      <c r="C19" s="332"/>
      <c r="D19" s="332"/>
    </row>
    <row r="20" spans="2:5" ht="15" customHeight="1" thickBot="1" x14ac:dyDescent="0.3">
      <c r="B20" s="32"/>
      <c r="C20" s="32"/>
      <c r="D20" s="33"/>
    </row>
    <row r="21" spans="2:5" ht="15" customHeight="1" x14ac:dyDescent="0.25">
      <c r="B21" s="320" t="s">
        <v>2</v>
      </c>
      <c r="C21" s="211"/>
      <c r="D21" s="321"/>
    </row>
    <row r="22" spans="2:5" ht="15" customHeight="1" x14ac:dyDescent="0.25">
      <c r="B22" s="322" t="s">
        <v>61</v>
      </c>
      <c r="C22" s="319"/>
      <c r="D22" s="323" t="s">
        <v>374</v>
      </c>
    </row>
    <row r="23" spans="2:5" ht="15" customHeight="1" x14ac:dyDescent="0.25">
      <c r="B23" s="322" t="s">
        <v>306</v>
      </c>
      <c r="C23" s="319"/>
      <c r="D23" s="324"/>
    </row>
    <row r="24" spans="2:5" ht="15" customHeight="1" x14ac:dyDescent="0.25">
      <c r="B24" s="322" t="s">
        <v>3</v>
      </c>
      <c r="C24" s="319"/>
      <c r="D24" s="323" t="s">
        <v>374</v>
      </c>
    </row>
    <row r="25" spans="2:5" ht="15" customHeight="1" x14ac:dyDescent="0.25">
      <c r="B25" s="322" t="s">
        <v>4</v>
      </c>
      <c r="C25" s="319"/>
      <c r="D25" s="324"/>
    </row>
    <row r="26" spans="2:5" ht="15" customHeight="1" x14ac:dyDescent="0.25">
      <c r="B26" s="322" t="s">
        <v>5</v>
      </c>
      <c r="C26" s="319"/>
      <c r="D26" s="325"/>
    </row>
    <row r="27" spans="2:5" ht="15" customHeight="1" x14ac:dyDescent="0.25">
      <c r="B27" s="322" t="s">
        <v>6</v>
      </c>
      <c r="C27" s="319"/>
      <c r="D27" s="326"/>
    </row>
    <row r="28" spans="2:5" ht="15" customHeight="1" x14ac:dyDescent="0.25">
      <c r="B28" s="322" t="s">
        <v>7</v>
      </c>
      <c r="C28" s="319"/>
      <c r="D28" s="327"/>
    </row>
    <row r="29" spans="2:5" ht="15" customHeight="1" x14ac:dyDescent="0.25">
      <c r="B29" s="322" t="s">
        <v>663</v>
      </c>
      <c r="C29" s="319"/>
      <c r="D29" s="328"/>
    </row>
    <row r="30" spans="2:5" ht="15" customHeight="1" x14ac:dyDescent="0.25">
      <c r="B30" s="322" t="s">
        <v>619</v>
      </c>
      <c r="C30" s="319"/>
      <c r="D30" s="328"/>
    </row>
    <row r="31" spans="2:5" ht="15" customHeight="1" thickBot="1" x14ac:dyDescent="0.3">
      <c r="B31" s="329" t="s">
        <v>366</v>
      </c>
      <c r="C31" s="330"/>
      <c r="D31" s="484"/>
    </row>
    <row r="32" spans="2:5" ht="15" customHeight="1" thickBot="1" x14ac:dyDescent="0.3">
      <c r="B32" s="33"/>
      <c r="C32" s="33"/>
      <c r="D32" s="33"/>
    </row>
    <row r="33" spans="2:20" ht="15" customHeight="1" thickBot="1" x14ac:dyDescent="0.3">
      <c r="B33" s="287" t="s">
        <v>17</v>
      </c>
      <c r="C33" s="289"/>
      <c r="D33" s="33"/>
      <c r="E33" s="37"/>
      <c r="F33" s="37"/>
      <c r="G33" s="37"/>
      <c r="H33" s="37"/>
      <c r="I33" s="37"/>
      <c r="J33" s="37"/>
      <c r="K33" s="37"/>
      <c r="L33" s="37"/>
      <c r="M33" s="37"/>
      <c r="N33" s="37"/>
      <c r="O33" s="37"/>
      <c r="P33" s="37"/>
      <c r="Q33" s="37"/>
      <c r="R33" s="38"/>
      <c r="S33" s="38"/>
      <c r="T33" s="37"/>
    </row>
    <row r="34" spans="2:20" ht="15" customHeight="1" thickTop="1" x14ac:dyDescent="0.25">
      <c r="B34" s="314" t="s">
        <v>18</v>
      </c>
      <c r="C34" s="312" t="s">
        <v>23</v>
      </c>
      <c r="D34" s="33"/>
      <c r="E34" s="37"/>
    </row>
    <row r="35" spans="2:20" ht="15" customHeight="1" x14ac:dyDescent="0.25">
      <c r="B35" s="315" t="s">
        <v>19</v>
      </c>
      <c r="C35" s="312" t="s">
        <v>24</v>
      </c>
      <c r="D35" s="39"/>
      <c r="E35" s="37"/>
    </row>
    <row r="36" spans="2:20" ht="15" customHeight="1" x14ac:dyDescent="0.25">
      <c r="B36" s="316" t="s">
        <v>21</v>
      </c>
      <c r="C36" s="312" t="s">
        <v>22</v>
      </c>
      <c r="D36" s="39"/>
      <c r="E36" s="37"/>
    </row>
    <row r="37" spans="2:20" ht="15" customHeight="1" x14ac:dyDescent="0.25">
      <c r="B37" s="317" t="s">
        <v>20</v>
      </c>
      <c r="C37" s="312" t="s">
        <v>30</v>
      </c>
      <c r="D37" s="39"/>
      <c r="E37" s="37"/>
    </row>
    <row r="38" spans="2:20" ht="15" customHeight="1" thickBot="1" x14ac:dyDescent="0.3">
      <c r="B38" s="318" t="s">
        <v>38</v>
      </c>
      <c r="C38" s="313" t="s">
        <v>37</v>
      </c>
      <c r="D38" s="39"/>
      <c r="E38" s="37"/>
    </row>
    <row r="39" spans="2:20" ht="15" customHeight="1" x14ac:dyDescent="0.25">
      <c r="B39" s="385" t="s">
        <v>25</v>
      </c>
      <c r="C39" s="39"/>
      <c r="D39" s="39"/>
      <c r="E39" s="37"/>
    </row>
    <row r="40" spans="2:20" ht="15" customHeight="1" x14ac:dyDescent="0.25">
      <c r="B40" s="39"/>
      <c r="C40" s="39"/>
      <c r="D40" s="39"/>
      <c r="E40" s="37"/>
    </row>
    <row r="41" spans="2:20" ht="15" customHeight="1" x14ac:dyDescent="0.25">
      <c r="B41" s="39"/>
      <c r="C41" s="39"/>
      <c r="D41" s="39"/>
      <c r="E41" s="37"/>
    </row>
    <row r="42" spans="2:20" ht="15" customHeight="1" x14ac:dyDescent="0.25">
      <c r="B42" s="39"/>
      <c r="C42" s="39"/>
      <c r="D42" s="39"/>
      <c r="E42" s="37"/>
    </row>
    <row r="43" spans="2:20" ht="15" customHeight="1" x14ac:dyDescent="0.25">
      <c r="B43" s="39"/>
      <c r="C43" s="39"/>
      <c r="D43" s="39"/>
      <c r="E43" s="37"/>
    </row>
    <row r="44" spans="2:20" ht="15" customHeight="1" x14ac:dyDescent="0.25">
      <c r="B44" s="39"/>
      <c r="C44" s="39"/>
      <c r="D44" s="39"/>
      <c r="E44" s="37"/>
    </row>
    <row r="45" spans="2:20" ht="15" customHeight="1" x14ac:dyDescent="0.25">
      <c r="B45" s="39"/>
      <c r="C45" s="39"/>
      <c r="D45" s="39"/>
      <c r="E45" s="37"/>
    </row>
    <row r="46" spans="2:20" ht="15" customHeight="1" x14ac:dyDescent="0.25">
      <c r="B46" s="39"/>
      <c r="C46" s="39"/>
      <c r="D46" s="39"/>
      <c r="E46" s="37"/>
    </row>
    <row r="47" spans="2:20" ht="15" customHeight="1" x14ac:dyDescent="0.25">
      <c r="B47" s="39"/>
      <c r="C47" s="39"/>
      <c r="D47" s="39"/>
      <c r="E47" s="37"/>
    </row>
    <row r="48" spans="2:20" ht="15" customHeight="1" x14ac:dyDescent="0.25">
      <c r="B48" s="39"/>
      <c r="C48" s="39"/>
      <c r="D48" s="39"/>
      <c r="E48" s="37"/>
    </row>
    <row r="49" spans="2:5" ht="15" customHeight="1" x14ac:dyDescent="0.25">
      <c r="B49" s="39"/>
      <c r="C49" s="39"/>
      <c r="D49" s="39"/>
      <c r="E49" s="37"/>
    </row>
    <row r="50" spans="2:5" ht="15" customHeight="1" x14ac:dyDescent="0.25">
      <c r="B50" s="39"/>
      <c r="C50" s="39"/>
      <c r="D50" s="39"/>
      <c r="E50" s="37"/>
    </row>
    <row r="51" spans="2:5" ht="15" customHeight="1" x14ac:dyDescent="0.25">
      <c r="B51" s="39"/>
      <c r="C51" s="39"/>
      <c r="D51" s="39"/>
      <c r="E51" s="37"/>
    </row>
    <row r="52" spans="2:5" ht="15" customHeight="1" x14ac:dyDescent="0.25">
      <c r="B52" s="39"/>
      <c r="C52" s="39"/>
      <c r="D52" s="39"/>
      <c r="E52" s="37"/>
    </row>
    <row r="53" spans="2:5" ht="15" customHeight="1" x14ac:dyDescent="0.25">
      <c r="B53" s="39"/>
      <c r="C53" s="39"/>
      <c r="D53" s="39"/>
      <c r="E53" s="37"/>
    </row>
    <row r="54" spans="2:5" ht="15" customHeight="1" x14ac:dyDescent="0.25">
      <c r="B54" s="39"/>
      <c r="C54" s="39"/>
      <c r="D54" s="39"/>
      <c r="E54" s="37"/>
    </row>
    <row r="55" spans="2:5" ht="15" customHeight="1" x14ac:dyDescent="0.25">
      <c r="B55" s="39"/>
      <c r="C55" s="39"/>
      <c r="D55" s="39"/>
      <c r="E55" s="37"/>
    </row>
    <row r="56" spans="2:5" ht="15" customHeight="1" x14ac:dyDescent="0.25">
      <c r="B56" s="39"/>
      <c r="C56" s="39"/>
      <c r="D56" s="39"/>
      <c r="E56" s="37"/>
    </row>
    <row r="57" spans="2:5" ht="15" customHeight="1" x14ac:dyDescent="0.25">
      <c r="B57" s="39"/>
      <c r="C57" s="39"/>
      <c r="D57" s="39"/>
      <c r="E57" s="37"/>
    </row>
    <row r="58" spans="2:5" ht="15" customHeight="1" x14ac:dyDescent="0.25">
      <c r="B58" s="39"/>
      <c r="C58" s="39"/>
      <c r="D58" s="39"/>
      <c r="E58" s="37"/>
    </row>
    <row r="59" spans="2:5" ht="15" customHeight="1" x14ac:dyDescent="0.25">
      <c r="B59" s="39"/>
      <c r="C59" s="39"/>
      <c r="D59" s="39"/>
      <c r="E59" s="37"/>
    </row>
    <row r="60" spans="2:5" ht="15" customHeight="1" x14ac:dyDescent="0.25">
      <c r="B60" s="39"/>
      <c r="C60" s="39"/>
      <c r="D60" s="39"/>
      <c r="E60" s="37"/>
    </row>
    <row r="61" spans="2:5" ht="15" customHeight="1" x14ac:dyDescent="0.25">
      <c r="B61" s="39"/>
      <c r="C61" s="39"/>
      <c r="D61" s="39"/>
      <c r="E61" s="37"/>
    </row>
    <row r="62" spans="2:5" ht="15" customHeight="1" x14ac:dyDescent="0.25">
      <c r="B62" s="39"/>
      <c r="C62" s="39"/>
      <c r="D62" s="39"/>
      <c r="E62" s="37"/>
    </row>
    <row r="63" spans="2:5" ht="15" customHeight="1" x14ac:dyDescent="0.25">
      <c r="E63" s="37"/>
    </row>
    <row r="64" spans="2:5" ht="15" customHeight="1" x14ac:dyDescent="0.25">
      <c r="B64" s="12"/>
      <c r="C64" s="12"/>
      <c r="E64" s="37"/>
    </row>
    <row r="65" spans="2:5" ht="15" customHeight="1" x14ac:dyDescent="0.25">
      <c r="B65" s="40"/>
      <c r="C65" s="40"/>
      <c r="E65" s="37"/>
    </row>
    <row r="66" spans="2:5" ht="15" customHeight="1" x14ac:dyDescent="0.25">
      <c r="E66" s="37"/>
    </row>
    <row r="67" spans="2:5" ht="15" customHeight="1" x14ac:dyDescent="0.25">
      <c r="E67" s="37"/>
    </row>
    <row r="68" spans="2:5" ht="15" customHeight="1" x14ac:dyDescent="0.25">
      <c r="E68" s="37"/>
    </row>
    <row r="69" spans="2:5" ht="15" customHeight="1" x14ac:dyDescent="0.25">
      <c r="E69" s="37"/>
    </row>
    <row r="70" spans="2:5" ht="15" customHeight="1" x14ac:dyDescent="0.25">
      <c r="E70" s="37"/>
    </row>
    <row r="71" spans="2:5" ht="15" customHeight="1" x14ac:dyDescent="0.25">
      <c r="E71" s="37"/>
    </row>
    <row r="72" spans="2:5" ht="15" customHeight="1" x14ac:dyDescent="0.25">
      <c r="E72" s="37"/>
    </row>
    <row r="73" spans="2:5" ht="15" customHeight="1" x14ac:dyDescent="0.25">
      <c r="E73" s="37"/>
    </row>
    <row r="74" spans="2:5" ht="15" customHeight="1" x14ac:dyDescent="0.25">
      <c r="E74" s="37"/>
    </row>
    <row r="75" spans="2:5" ht="15" customHeight="1" x14ac:dyDescent="0.25">
      <c r="E75" s="37"/>
    </row>
    <row r="76" spans="2:5" ht="15" customHeight="1" x14ac:dyDescent="0.25">
      <c r="E76" s="37"/>
    </row>
    <row r="77" spans="2:5" ht="15" customHeight="1" x14ac:dyDescent="0.25">
      <c r="E77" s="37"/>
    </row>
    <row r="78" spans="2:5" ht="15" customHeight="1" x14ac:dyDescent="0.25">
      <c r="E78" s="37"/>
    </row>
    <row r="79" spans="2:5" ht="15" customHeight="1" x14ac:dyDescent="0.25">
      <c r="E79" s="37"/>
    </row>
    <row r="80" spans="2:5" ht="15" customHeight="1" x14ac:dyDescent="0.25">
      <c r="E80" s="37"/>
    </row>
    <row r="81" spans="5:5" ht="15" customHeight="1" x14ac:dyDescent="0.25">
      <c r="E81" s="37"/>
    </row>
    <row r="82" spans="5:5" ht="15" customHeight="1" x14ac:dyDescent="0.25">
      <c r="E82" s="37"/>
    </row>
    <row r="83" spans="5:5" ht="15" customHeight="1" x14ac:dyDescent="0.25">
      <c r="E83" s="37"/>
    </row>
    <row r="84" spans="5:5" ht="15" customHeight="1" x14ac:dyDescent="0.25">
      <c r="E84" s="37"/>
    </row>
    <row r="85" spans="5:5" ht="15" customHeight="1" x14ac:dyDescent="0.25">
      <c r="E85" s="37"/>
    </row>
    <row r="86" spans="5:5" ht="15" customHeight="1" x14ac:dyDescent="0.25">
      <c r="E86" s="37"/>
    </row>
    <row r="87" spans="5:5" ht="15" customHeight="1" x14ac:dyDescent="0.25">
      <c r="E87" s="37"/>
    </row>
    <row r="88" spans="5:5" ht="15" customHeight="1" x14ac:dyDescent="0.25">
      <c r="E88" s="37"/>
    </row>
    <row r="89" spans="5:5" ht="15" customHeight="1" x14ac:dyDescent="0.25">
      <c r="E89" s="37"/>
    </row>
    <row r="90" spans="5:5" ht="15" customHeight="1" x14ac:dyDescent="0.25">
      <c r="E90" s="37"/>
    </row>
    <row r="91" spans="5:5" ht="15" customHeight="1" x14ac:dyDescent="0.25">
      <c r="E91" s="37"/>
    </row>
    <row r="92" spans="5:5" ht="15" customHeight="1" x14ac:dyDescent="0.25">
      <c r="E92" s="37"/>
    </row>
    <row r="93" spans="5:5" ht="15" customHeight="1" x14ac:dyDescent="0.25">
      <c r="E93" s="37"/>
    </row>
    <row r="94" spans="5:5" ht="15" customHeight="1" x14ac:dyDescent="0.25">
      <c r="E94" s="37"/>
    </row>
    <row r="95" spans="5:5" ht="15" customHeight="1" x14ac:dyDescent="0.25">
      <c r="E95" s="37"/>
    </row>
    <row r="96" spans="5:5" ht="15" customHeight="1" x14ac:dyDescent="0.25">
      <c r="E96" s="37"/>
    </row>
    <row r="97" spans="5:5" ht="15" customHeight="1" x14ac:dyDescent="0.25">
      <c r="E97" s="37"/>
    </row>
    <row r="98" spans="5:5" ht="15" customHeight="1" x14ac:dyDescent="0.25">
      <c r="E98" s="37"/>
    </row>
    <row r="99" spans="5:5" ht="15" customHeight="1" x14ac:dyDescent="0.25">
      <c r="E99" s="37"/>
    </row>
    <row r="100" spans="5:5" ht="15" customHeight="1" x14ac:dyDescent="0.25">
      <c r="E100" s="37"/>
    </row>
    <row r="101" spans="5:5" ht="15" customHeight="1" x14ac:dyDescent="0.25">
      <c r="E101" s="37"/>
    </row>
    <row r="102" spans="5:5" ht="15" customHeight="1" x14ac:dyDescent="0.25">
      <c r="E102" s="37"/>
    </row>
    <row r="103" spans="5:5" ht="15" customHeight="1" x14ac:dyDescent="0.25">
      <c r="E103" s="37"/>
    </row>
    <row r="104" spans="5:5" ht="15" customHeight="1" x14ac:dyDescent="0.25">
      <c r="E104" s="37"/>
    </row>
    <row r="105" spans="5:5" ht="15" customHeight="1" x14ac:dyDescent="0.25">
      <c r="E105" s="37"/>
    </row>
    <row r="106" spans="5:5" ht="15" customHeight="1" x14ac:dyDescent="0.25">
      <c r="E106" s="37"/>
    </row>
    <row r="107" spans="5:5" ht="15" customHeight="1" x14ac:dyDescent="0.25">
      <c r="E107" s="37"/>
    </row>
    <row r="108" spans="5:5" ht="15" customHeight="1" x14ac:dyDescent="0.25">
      <c r="E108" s="37"/>
    </row>
    <row r="109" spans="5:5" ht="15" customHeight="1" x14ac:dyDescent="0.25">
      <c r="E109" s="37"/>
    </row>
    <row r="110" spans="5:5" ht="15" customHeight="1" x14ac:dyDescent="0.25">
      <c r="E110" s="37"/>
    </row>
    <row r="111" spans="5:5" ht="15" customHeight="1" x14ac:dyDescent="0.25">
      <c r="E111" s="37"/>
    </row>
    <row r="112" spans="5:5" ht="15" customHeight="1" x14ac:dyDescent="0.25">
      <c r="E112" s="37"/>
    </row>
    <row r="113" spans="5:5" ht="15" customHeight="1" x14ac:dyDescent="0.25">
      <c r="E113" s="37"/>
    </row>
    <row r="114" spans="5:5" ht="15" customHeight="1" x14ac:dyDescent="0.25">
      <c r="E114" s="37"/>
    </row>
    <row r="115" spans="5:5" ht="15" customHeight="1" x14ac:dyDescent="0.25">
      <c r="E115" s="37"/>
    </row>
    <row r="116" spans="5:5" ht="15" customHeight="1" x14ac:dyDescent="0.25">
      <c r="E116" s="37"/>
    </row>
    <row r="117" spans="5:5" ht="15" customHeight="1" x14ac:dyDescent="0.25">
      <c r="E117" s="37"/>
    </row>
    <row r="118" spans="5:5" ht="15" customHeight="1" x14ac:dyDescent="0.25">
      <c r="E118" s="37"/>
    </row>
    <row r="119" spans="5:5" ht="15" customHeight="1" x14ac:dyDescent="0.25">
      <c r="E119" s="37"/>
    </row>
    <row r="120" spans="5:5" ht="15" customHeight="1" x14ac:dyDescent="0.25">
      <c r="E120" s="37"/>
    </row>
    <row r="121" spans="5:5" ht="15" customHeight="1" x14ac:dyDescent="0.25">
      <c r="E121" s="37"/>
    </row>
    <row r="122" spans="5:5" ht="15" customHeight="1" x14ac:dyDescent="0.25">
      <c r="E122" s="37"/>
    </row>
    <row r="123" spans="5:5" ht="15" customHeight="1" x14ac:dyDescent="0.25">
      <c r="E123" s="37"/>
    </row>
    <row r="124" spans="5:5" ht="15" customHeight="1" x14ac:dyDescent="0.25">
      <c r="E124" s="37"/>
    </row>
    <row r="125" spans="5:5" ht="15" customHeight="1" x14ac:dyDescent="0.25">
      <c r="E125" s="37"/>
    </row>
    <row r="126" spans="5:5" ht="15" customHeight="1" x14ac:dyDescent="0.25">
      <c r="E126" s="37"/>
    </row>
    <row r="127" spans="5:5" ht="15" customHeight="1" x14ac:dyDescent="0.25">
      <c r="E127" s="37"/>
    </row>
    <row r="128" spans="5:5" ht="15" customHeight="1" x14ac:dyDescent="0.25">
      <c r="E128" s="37"/>
    </row>
    <row r="129" spans="5:5" ht="15" customHeight="1" x14ac:dyDescent="0.25">
      <c r="E129" s="37"/>
    </row>
    <row r="130" spans="5:5" ht="15" customHeight="1" x14ac:dyDescent="0.25">
      <c r="E130" s="37"/>
    </row>
    <row r="131" spans="5:5" ht="15" customHeight="1" x14ac:dyDescent="0.25">
      <c r="E131" s="37"/>
    </row>
    <row r="132" spans="5:5" ht="15" customHeight="1" x14ac:dyDescent="0.25">
      <c r="E132" s="37"/>
    </row>
    <row r="133" spans="5:5" ht="15" customHeight="1" x14ac:dyDescent="0.25">
      <c r="E133" s="37"/>
    </row>
    <row r="134" spans="5:5" ht="15" customHeight="1" x14ac:dyDescent="0.25">
      <c r="E134" s="37"/>
    </row>
    <row r="135" spans="5:5" ht="15" customHeight="1" x14ac:dyDescent="0.25">
      <c r="E135" s="37"/>
    </row>
    <row r="136" spans="5:5" ht="15" customHeight="1" x14ac:dyDescent="0.25">
      <c r="E136" s="37"/>
    </row>
    <row r="137" spans="5:5" ht="15" customHeight="1" x14ac:dyDescent="0.25">
      <c r="E137" s="37"/>
    </row>
    <row r="138" spans="5:5" ht="15" customHeight="1" x14ac:dyDescent="0.25">
      <c r="E138" s="37"/>
    </row>
    <row r="139" spans="5:5" ht="15" customHeight="1" x14ac:dyDescent="0.25">
      <c r="E139" s="37"/>
    </row>
    <row r="140" spans="5:5" ht="15" customHeight="1" x14ac:dyDescent="0.25">
      <c r="E140" s="37"/>
    </row>
    <row r="141" spans="5:5" ht="15" customHeight="1" x14ac:dyDescent="0.25">
      <c r="E141" s="37"/>
    </row>
    <row r="142" spans="5:5" ht="15" customHeight="1" x14ac:dyDescent="0.25">
      <c r="E142" s="37"/>
    </row>
    <row r="143" spans="5:5" ht="15" customHeight="1" x14ac:dyDescent="0.25">
      <c r="E143" s="37"/>
    </row>
    <row r="144" spans="5:5" ht="15" customHeight="1" x14ac:dyDescent="0.25">
      <c r="E144" s="37"/>
    </row>
    <row r="145" spans="5:5" ht="15" customHeight="1" x14ac:dyDescent="0.25">
      <c r="E145" s="37"/>
    </row>
    <row r="146" spans="5:5" ht="15" customHeight="1" x14ac:dyDescent="0.25">
      <c r="E146" s="37"/>
    </row>
    <row r="147" spans="5:5" ht="15" customHeight="1" x14ac:dyDescent="0.25">
      <c r="E147" s="37"/>
    </row>
    <row r="148" spans="5:5" ht="15" customHeight="1" x14ac:dyDescent="0.25">
      <c r="E148" s="37"/>
    </row>
    <row r="149" spans="5:5" ht="15" customHeight="1" x14ac:dyDescent="0.25">
      <c r="E149" s="37"/>
    </row>
    <row r="150" spans="5:5" ht="15" customHeight="1" x14ac:dyDescent="0.25">
      <c r="E150" s="37"/>
    </row>
    <row r="151" spans="5:5" ht="15" customHeight="1" x14ac:dyDescent="0.25">
      <c r="E151" s="37"/>
    </row>
    <row r="152" spans="5:5" ht="15" customHeight="1" x14ac:dyDescent="0.25">
      <c r="E152" s="37"/>
    </row>
    <row r="153" spans="5:5" ht="15" customHeight="1" x14ac:dyDescent="0.25">
      <c r="E153" s="37"/>
    </row>
    <row r="154" spans="5:5" ht="15" customHeight="1" x14ac:dyDescent="0.25">
      <c r="E154" s="37"/>
    </row>
    <row r="155" spans="5:5" ht="15" customHeight="1" x14ac:dyDescent="0.25">
      <c r="E155" s="37"/>
    </row>
    <row r="156" spans="5:5" ht="15" customHeight="1" x14ac:dyDescent="0.25">
      <c r="E156" s="37"/>
    </row>
    <row r="157" spans="5:5" ht="15" customHeight="1" x14ac:dyDescent="0.25">
      <c r="E157" s="37"/>
    </row>
    <row r="158" spans="5:5" ht="15" customHeight="1" x14ac:dyDescent="0.25">
      <c r="E158" s="37"/>
    </row>
    <row r="159" spans="5:5" ht="15" customHeight="1" x14ac:dyDescent="0.25">
      <c r="E159" s="37"/>
    </row>
    <row r="160" spans="5:5" ht="15" customHeight="1" x14ac:dyDescent="0.25">
      <c r="E160" s="37"/>
    </row>
    <row r="161" spans="5:5" ht="15" customHeight="1" x14ac:dyDescent="0.25">
      <c r="E161" s="37"/>
    </row>
    <row r="162" spans="5:5" ht="15" customHeight="1" x14ac:dyDescent="0.25">
      <c r="E162" s="37"/>
    </row>
    <row r="163" spans="5:5" ht="15" customHeight="1" x14ac:dyDescent="0.25">
      <c r="E163" s="37"/>
    </row>
    <row r="164" spans="5:5" ht="15" customHeight="1" x14ac:dyDescent="0.25">
      <c r="E164" s="37"/>
    </row>
    <row r="165" spans="5:5" ht="15" customHeight="1" x14ac:dyDescent="0.25">
      <c r="E165" s="37"/>
    </row>
    <row r="166" spans="5:5" ht="15" customHeight="1" x14ac:dyDescent="0.25">
      <c r="E166" s="37"/>
    </row>
    <row r="167" spans="5:5" ht="15" customHeight="1" x14ac:dyDescent="0.25">
      <c r="E167" s="37"/>
    </row>
    <row r="168" spans="5:5" ht="15" customHeight="1" x14ac:dyDescent="0.25">
      <c r="E168" s="37"/>
    </row>
    <row r="169" spans="5:5" ht="15" customHeight="1" x14ac:dyDescent="0.25">
      <c r="E169" s="37"/>
    </row>
    <row r="170" spans="5:5" ht="15" customHeight="1" x14ac:dyDescent="0.25">
      <c r="E170" s="37"/>
    </row>
    <row r="171" spans="5:5" ht="15" customHeight="1" x14ac:dyDescent="0.25">
      <c r="E171" s="37"/>
    </row>
    <row r="172" spans="5:5" ht="15" customHeight="1" x14ac:dyDescent="0.25">
      <c r="E172" s="37"/>
    </row>
    <row r="173" spans="5:5" ht="15" customHeight="1" x14ac:dyDescent="0.25">
      <c r="E173" s="37"/>
    </row>
    <row r="174" spans="5:5" ht="15" customHeight="1" x14ac:dyDescent="0.25">
      <c r="E174" s="37"/>
    </row>
    <row r="175" spans="5:5" ht="15" customHeight="1" x14ac:dyDescent="0.25">
      <c r="E175" s="37"/>
    </row>
    <row r="176" spans="5:5" ht="15" customHeight="1" x14ac:dyDescent="0.25">
      <c r="E176" s="37"/>
    </row>
    <row r="177" spans="5:5" ht="15" customHeight="1" x14ac:dyDescent="0.25">
      <c r="E177" s="37"/>
    </row>
    <row r="178" spans="5:5" ht="15" customHeight="1" x14ac:dyDescent="0.25">
      <c r="E178" s="37"/>
    </row>
    <row r="179" spans="5:5" ht="15" customHeight="1" x14ac:dyDescent="0.25">
      <c r="E179" s="37"/>
    </row>
    <row r="180" spans="5:5" ht="15" customHeight="1" x14ac:dyDescent="0.25">
      <c r="E180" s="37"/>
    </row>
    <row r="181" spans="5:5" ht="15" customHeight="1" x14ac:dyDescent="0.25">
      <c r="E181" s="37"/>
    </row>
    <row r="182" spans="5:5" ht="15" customHeight="1" x14ac:dyDescent="0.25">
      <c r="E182" s="37"/>
    </row>
    <row r="183" spans="5:5" ht="15" customHeight="1" x14ac:dyDescent="0.25">
      <c r="E183" s="37"/>
    </row>
    <row r="184" spans="5:5" ht="15" customHeight="1" x14ac:dyDescent="0.25">
      <c r="E184" s="37"/>
    </row>
  </sheetData>
  <sheetProtection algorithmName="SHA-512" hashValue="LF8FjzV1rHOj43w7vqOFZV3AINHw9MWgoINCp5xRUGlR5OKdiu9wH+cbm4qqM+2z+vv1jg7Df7EC2pF1XuCuKg==" saltValue="I/T4294KSFLIuw+54Nh2Hw==" spinCount="100000" sheet="1" objects="1" scenarios="1"/>
  <hyperlinks>
    <hyperlink ref="B11" r:id="rId1" tooltip="Quantification Methodology and User Guide" xr:uid="{00000000-0004-0000-0100-000000000000}"/>
    <hyperlink ref="C17" r:id="rId2" tooltip="PV Watts Calculator" xr:uid="{00000000-0004-0000-0100-000001000000}"/>
  </hyperlinks>
  <pageMargins left="0.7" right="0.7" top="0.98479166666666662" bottom="0.75" header="0.3" footer="0.3"/>
  <pageSetup scale="71" fitToHeight="0" orientation="landscape" r:id="rId3"/>
  <headerFooter>
    <oddFooter>&amp;L&amp;"Avenir LT Std 55 Roman,Regular"&amp;12&amp;K000000FINAL August 7, 2020&amp;C&amp;"Avenir LT Std 55 Roman,Regular"&amp;12Page &amp;P of &amp;N&amp;R&amp;"Avenir LT Std 55 Roman,Regular"&amp;12&amp;K000000&amp;A</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AK52"/>
  <sheetViews>
    <sheetView showGridLines="0" zoomScaleNormal="100" workbookViewId="0"/>
  </sheetViews>
  <sheetFormatPr defaultColWidth="9.140625" defaultRowHeight="15.75" x14ac:dyDescent="0.25"/>
  <cols>
    <col min="1" max="1" width="4.28515625" style="13" customWidth="1"/>
    <col min="2" max="2" width="3.85546875" style="13" bestFit="1" customWidth="1"/>
    <col min="3" max="3" width="36.5703125" style="13" customWidth="1"/>
    <col min="4" max="4" width="13.5703125" style="13" customWidth="1"/>
    <col min="5" max="5" width="53.5703125" style="13" customWidth="1"/>
    <col min="6" max="11" width="19.7109375" style="13" customWidth="1"/>
    <col min="12" max="12" width="33" style="13" customWidth="1"/>
    <col min="13" max="28" width="19.7109375" style="13" customWidth="1"/>
    <col min="29" max="30" width="24.7109375" style="13" customWidth="1"/>
    <col min="31" max="32" width="24.7109375" style="13" hidden="1" customWidth="1"/>
    <col min="33" max="33" width="26.140625" style="13" bestFit="1" customWidth="1"/>
    <col min="34" max="35" width="24.7109375" style="13" customWidth="1"/>
    <col min="36" max="36" width="24.7109375" style="13" hidden="1" customWidth="1"/>
    <col min="37" max="37" width="24.7109375" style="13" customWidth="1"/>
    <col min="38" max="16384" width="9.140625" style="13"/>
  </cols>
  <sheetData>
    <row r="1" spans="2:22" ht="18.75" customHeight="1" thickBot="1" x14ac:dyDescent="0.3"/>
    <row r="2" spans="2:22" ht="16.5" customHeight="1" thickBot="1" x14ac:dyDescent="0.3">
      <c r="G2" s="287" t="s">
        <v>17</v>
      </c>
      <c r="H2" s="288"/>
      <c r="I2" s="289"/>
    </row>
    <row r="3" spans="2:22" ht="16.5" customHeight="1" thickTop="1" x14ac:dyDescent="0.25">
      <c r="G3" s="24" t="s">
        <v>18</v>
      </c>
      <c r="H3" s="285" t="s">
        <v>23</v>
      </c>
      <c r="I3" s="282"/>
    </row>
    <row r="4" spans="2:22" ht="16.5" customHeight="1" x14ac:dyDescent="0.25">
      <c r="G4" s="25" t="s">
        <v>19</v>
      </c>
      <c r="H4" s="49" t="s">
        <v>24</v>
      </c>
      <c r="I4" s="283"/>
    </row>
    <row r="5" spans="2:22" ht="16.5" customHeight="1" x14ac:dyDescent="0.25">
      <c r="G5" s="26" t="s">
        <v>21</v>
      </c>
      <c r="H5" s="49" t="s">
        <v>22</v>
      </c>
      <c r="I5" s="283"/>
    </row>
    <row r="6" spans="2:22" ht="16.5" customHeight="1" x14ac:dyDescent="0.25">
      <c r="G6" s="27" t="s">
        <v>20</v>
      </c>
      <c r="H6" s="250" t="s">
        <v>30</v>
      </c>
      <c r="I6" s="284"/>
    </row>
    <row r="7" spans="2:22" ht="16.5" customHeight="1" thickBot="1" x14ac:dyDescent="0.3">
      <c r="G7" s="28" t="s">
        <v>38</v>
      </c>
      <c r="H7" s="286" t="s">
        <v>37</v>
      </c>
      <c r="I7" s="189"/>
    </row>
    <row r="8" spans="2:22" ht="15" customHeight="1" x14ac:dyDescent="0.25">
      <c r="G8" s="385" t="s">
        <v>25</v>
      </c>
    </row>
    <row r="9" spans="2:22" ht="15" customHeight="1" x14ac:dyDescent="0.25">
      <c r="B9" s="11" t="s">
        <v>8</v>
      </c>
      <c r="C9" s="11"/>
      <c r="D9" s="11"/>
      <c r="E9" s="11"/>
      <c r="F9" s="11"/>
      <c r="G9" s="11"/>
      <c r="H9" s="11"/>
      <c r="I9" s="11"/>
      <c r="S9" s="11"/>
      <c r="T9" s="11"/>
      <c r="U9" s="11"/>
      <c r="V9" s="11"/>
    </row>
    <row r="10" spans="2:22" x14ac:dyDescent="0.25">
      <c r="B10" s="290" t="s">
        <v>475</v>
      </c>
      <c r="C10" s="343"/>
      <c r="D10" s="343"/>
      <c r="E10" s="343"/>
      <c r="F10" s="343"/>
      <c r="G10" s="343"/>
      <c r="H10" s="343"/>
      <c r="I10" s="344"/>
    </row>
    <row r="11" spans="2:22" x14ac:dyDescent="0.25">
      <c r="B11" s="667" t="s">
        <v>648</v>
      </c>
      <c r="C11" s="446"/>
      <c r="D11" s="446"/>
      <c r="E11" s="632"/>
      <c r="F11" s="632"/>
      <c r="G11" s="632"/>
      <c r="H11" s="632"/>
      <c r="I11" s="633"/>
    </row>
    <row r="12" spans="2:22" x14ac:dyDescent="0.25">
      <c r="B12" s="440"/>
      <c r="C12" s="447"/>
      <c r="D12" s="447"/>
      <c r="E12" s="439"/>
      <c r="F12" s="439"/>
      <c r="G12" s="439"/>
      <c r="H12" s="439"/>
      <c r="I12" s="441"/>
    </row>
    <row r="13" spans="2:22" x14ac:dyDescent="0.25">
      <c r="B13" s="440" t="s">
        <v>476</v>
      </c>
      <c r="C13" s="447"/>
      <c r="D13" s="447"/>
      <c r="E13" s="439"/>
      <c r="F13" s="439"/>
      <c r="G13" s="439"/>
      <c r="H13" s="439"/>
      <c r="I13" s="441"/>
    </row>
    <row r="14" spans="2:22" x14ac:dyDescent="0.25">
      <c r="B14" s="440" t="s">
        <v>477</v>
      </c>
      <c r="C14" s="447"/>
      <c r="D14" s="447"/>
      <c r="E14" s="439"/>
      <c r="F14" s="439"/>
      <c r="G14" s="439"/>
      <c r="H14" s="439"/>
      <c r="I14" s="441"/>
    </row>
    <row r="15" spans="2:22" x14ac:dyDescent="0.25">
      <c r="B15" s="440"/>
      <c r="C15" s="447"/>
      <c r="D15" s="447"/>
      <c r="E15" s="439"/>
      <c r="F15" s="439"/>
      <c r="G15" s="439"/>
      <c r="H15" s="439"/>
      <c r="I15" s="441"/>
    </row>
    <row r="16" spans="2:22" x14ac:dyDescent="0.25">
      <c r="B16" s="440" t="s">
        <v>623</v>
      </c>
      <c r="C16" s="447"/>
      <c r="D16" s="447"/>
      <c r="E16" s="439"/>
      <c r="F16" s="439"/>
      <c r="G16" s="439"/>
      <c r="H16" s="439"/>
      <c r="I16" s="441"/>
    </row>
    <row r="17" spans="1:37" x14ac:dyDescent="0.25">
      <c r="B17" s="440" t="s">
        <v>624</v>
      </c>
      <c r="C17" s="447"/>
      <c r="D17" s="447"/>
      <c r="E17" s="439"/>
      <c r="F17" s="439"/>
      <c r="G17" s="439"/>
      <c r="H17" s="439"/>
      <c r="I17" s="441"/>
    </row>
    <row r="18" spans="1:37" x14ac:dyDescent="0.25">
      <c r="B18" s="442" t="s">
        <v>625</v>
      </c>
      <c r="C18" s="448"/>
      <c r="D18" s="448"/>
      <c r="E18" s="443"/>
      <c r="F18" s="443"/>
      <c r="G18" s="443"/>
      <c r="H18" s="443"/>
      <c r="I18" s="444"/>
    </row>
    <row r="19" spans="1:37" s="37" customFormat="1" ht="15" customHeight="1" thickBot="1" x14ac:dyDescent="0.3">
      <c r="I19" s="579"/>
      <c r="L19" s="580"/>
      <c r="N19" s="580"/>
      <c r="O19" s="580"/>
      <c r="P19" s="580"/>
      <c r="Q19" s="580"/>
      <c r="R19" s="580"/>
      <c r="X19" s="580"/>
      <c r="Y19" s="580"/>
      <c r="Z19" s="580"/>
      <c r="AA19" s="580"/>
      <c r="AE19" s="579"/>
      <c r="AF19" s="579"/>
    </row>
    <row r="20" spans="1:37" s="11" customFormat="1" ht="39.950000000000003" customHeight="1" x14ac:dyDescent="0.25">
      <c r="B20" s="386" t="s">
        <v>12</v>
      </c>
      <c r="C20" s="387"/>
      <c r="D20" s="387"/>
      <c r="E20" s="387"/>
      <c r="F20" s="386" t="s">
        <v>644</v>
      </c>
      <c r="G20" s="387"/>
      <c r="H20" s="387"/>
      <c r="I20" s="387"/>
      <c r="J20" s="387"/>
      <c r="K20" s="387"/>
      <c r="L20" s="445" t="s">
        <v>645</v>
      </c>
      <c r="M20" s="388"/>
      <c r="N20" s="388"/>
      <c r="O20" s="388"/>
      <c r="P20" s="388"/>
      <c r="Q20" s="388"/>
      <c r="R20" s="388"/>
      <c r="S20" s="445" t="s">
        <v>647</v>
      </c>
      <c r="T20" s="387"/>
      <c r="U20" s="387"/>
      <c r="V20" s="387"/>
      <c r="W20" s="387"/>
      <c r="X20" s="445" t="s">
        <v>646</v>
      </c>
      <c r="Y20" s="388"/>
      <c r="Z20" s="388"/>
      <c r="AA20" s="388"/>
      <c r="AB20" s="685"/>
      <c r="AC20" s="388" t="s">
        <v>628</v>
      </c>
      <c r="AD20" s="388"/>
      <c r="AE20" s="388"/>
      <c r="AF20" s="388"/>
      <c r="AG20" s="388"/>
      <c r="AH20" s="445" t="s">
        <v>629</v>
      </c>
      <c r="AI20" s="388"/>
      <c r="AJ20" s="388"/>
      <c r="AK20" s="673"/>
    </row>
    <row r="21" spans="1:37" s="29" customFormat="1" ht="79.5" thickBot="1" x14ac:dyDescent="0.3">
      <c r="B21" s="638" t="s">
        <v>499</v>
      </c>
      <c r="C21" s="618" t="s">
        <v>267</v>
      </c>
      <c r="D21" s="619" t="s">
        <v>626</v>
      </c>
      <c r="E21" s="619" t="s">
        <v>557</v>
      </c>
      <c r="F21" s="617" t="s">
        <v>610</v>
      </c>
      <c r="G21" s="618" t="s">
        <v>611</v>
      </c>
      <c r="H21" s="618" t="s">
        <v>652</v>
      </c>
      <c r="I21" s="618" t="s">
        <v>614</v>
      </c>
      <c r="J21" s="618" t="s">
        <v>615</v>
      </c>
      <c r="K21" s="618" t="s">
        <v>653</v>
      </c>
      <c r="L21" s="638" t="s">
        <v>572</v>
      </c>
      <c r="M21" s="618" t="s">
        <v>576</v>
      </c>
      <c r="N21" s="618" t="s">
        <v>575</v>
      </c>
      <c r="O21" s="618" t="s">
        <v>577</v>
      </c>
      <c r="P21" s="618" t="s">
        <v>579</v>
      </c>
      <c r="Q21" s="618" t="s">
        <v>580</v>
      </c>
      <c r="R21" s="619" t="s">
        <v>627</v>
      </c>
      <c r="S21" s="686" t="s">
        <v>612</v>
      </c>
      <c r="T21" s="687" t="s">
        <v>613</v>
      </c>
      <c r="U21" s="687" t="s">
        <v>617</v>
      </c>
      <c r="V21" s="687" t="s">
        <v>616</v>
      </c>
      <c r="W21" s="687" t="s">
        <v>281</v>
      </c>
      <c r="X21" s="686" t="s">
        <v>578</v>
      </c>
      <c r="Y21" s="687" t="s">
        <v>582</v>
      </c>
      <c r="Z21" s="687" t="s">
        <v>581</v>
      </c>
      <c r="AA21" s="687" t="s">
        <v>583</v>
      </c>
      <c r="AB21" s="688" t="s">
        <v>281</v>
      </c>
      <c r="AC21" s="699" t="s">
        <v>638</v>
      </c>
      <c r="AD21" s="674" t="s">
        <v>639</v>
      </c>
      <c r="AE21" s="674" t="s">
        <v>630</v>
      </c>
      <c r="AF21" s="674" t="s">
        <v>631</v>
      </c>
      <c r="AG21" s="681" t="s">
        <v>640</v>
      </c>
      <c r="AH21" s="682" t="s">
        <v>642</v>
      </c>
      <c r="AI21" s="679" t="s">
        <v>643</v>
      </c>
      <c r="AJ21" s="679" t="s">
        <v>498</v>
      </c>
      <c r="AK21" s="680" t="s">
        <v>641</v>
      </c>
    </row>
    <row r="22" spans="1:37" ht="47.25" customHeight="1" x14ac:dyDescent="0.25">
      <c r="A22" s="20"/>
      <c r="B22" s="490">
        <v>1</v>
      </c>
      <c r="C22" s="491"/>
      <c r="D22" s="649"/>
      <c r="E22" s="650"/>
      <c r="F22" s="620"/>
      <c r="G22" s="711"/>
      <c r="H22" s="588"/>
      <c r="I22" s="655" t="str">
        <f>IF(D22='Defaults &lt;HIDE&gt;'!$H$12,'Emission Factors &lt;HIDE&gt;'!$B$103,"")</f>
        <v/>
      </c>
      <c r="J22" s="711"/>
      <c r="K22" s="717"/>
      <c r="L22" s="620"/>
      <c r="M22" s="592"/>
      <c r="N22" s="592"/>
      <c r="O22" s="711"/>
      <c r="P22" s="643"/>
      <c r="Q22" s="714"/>
      <c r="R22" s="689"/>
      <c r="S22" s="692" t="str">
        <f>IF(G22&gt;=2000,'Emission Factors &lt;HIDE&gt;'!$C$189,IF(G22&gt;=200,'Emission Factors &lt;HIDE&gt;'!$C$188,IF(G22&gt;=50,'Emission Factors &lt;HIDE&gt;'!$C$187,"")))</f>
        <v/>
      </c>
      <c r="T22" s="615" t="str">
        <f t="shared" ref="T22:T41" si="0">IF(F22="","",0.2)</f>
        <v/>
      </c>
      <c r="U22" s="656" t="str">
        <f t="shared" ref="U22:U41" si="1">IF(J22="","",IF(J22&lt;50, 0.1, 0.07))</f>
        <v/>
      </c>
      <c r="V22" s="615" t="str">
        <f t="shared" ref="V22:V41" si="2">IF(J22="","",IF(J22&lt;50, 0.56, 0.2))</f>
        <v/>
      </c>
      <c r="W22" s="693" t="str">
        <f>IF(AND(F22="",J22=""),"",IF(OR($C22='Defaults &lt;HIDE&gt;'!$B$12,$C22='Defaults &lt;HIDE&gt;'!$B$13,$C22='Defaults &lt;HIDE&gt;'!$B$14),15,IF(NOT($C22=""),10,"")))</f>
        <v/>
      </c>
      <c r="X22" s="692" t="str">
        <f>IF(O22="","",IF(L22='Defaults &lt;HIDE&gt;'!$D$14,'Emission Factors &lt;HIDE&gt;'!$C$190,IF(OR(L22='Defaults &lt;HIDE&gt;'!$D$15,L22='Defaults &lt;HIDE&gt;'!$D$16),'Emission Factors &lt;HIDE&gt;'!$C$191,IF(O22&gt;=2000,'Emission Factors &lt;HIDE&gt;'!$C$189,IF(O22&gt;=200,'Emission Factors &lt;HIDE&gt;'!$C$188,IF(O22&gt;50,'Emission Factors &lt;HIDE&gt;'!$C$187,'Emission Factors &lt;HIDE&gt;'!$C$186))))))</f>
        <v/>
      </c>
      <c r="Y22" s="615" t="str">
        <f>IF(L22="","",IF(OR(L22='Defaults &lt;HIDE&gt;'!$D$15,L22='Defaults &lt;HIDE&gt;'!$D$16),'Emission Factors &lt;HIDE&gt;'!$C$197,IF(O22&lt;=50,'Emission Factors &lt;HIDE&gt;'!$C$195,'Emission Factors &lt;HIDE&gt;'!$C$196)))</f>
        <v/>
      </c>
      <c r="Z22" s="615" t="str">
        <f>IF(Q22="","",IF(L22='Defaults &lt;HIDE&gt;'!$D$15,0,IF(Q22&gt;=2000,'Emission Factors &lt;HIDE&gt;'!$C$189,IF(Q22&gt;=200,'Emission Factors &lt;HIDE&gt;'!$C$188,IF(Q22&gt;=50,'Emission Factors &lt;HIDE&gt;'!$C$187,'Emission Factors &lt;HIDE&gt;'!$C$186)))))</f>
        <v/>
      </c>
      <c r="AA22" s="615" t="str">
        <f>IF(P22="","",IF(L22='Defaults &lt;HIDE&gt;'!$D$15,0,IF(Q22&lt;=50,'Emission Factors &lt;HIDE&gt;'!$C$195,'Emission Factors &lt;HIDE&gt;'!$C$196)))</f>
        <v/>
      </c>
      <c r="AB22" s="708" t="str">
        <f>IF(L22="","",IF(OR($C22='Defaults &lt;HIDE&gt;'!$B$12,$C22='Defaults &lt;HIDE&gt;'!$B$13,$C22='Defaults &lt;HIDE&gt;'!$B$14),15,IF(NOT($C22=""),10,"")))</f>
        <v/>
      </c>
      <c r="AC22" s="703" t="str">
        <f>IF(AND(ISBLANK(F22),J22=""),"",(IFERROR(VLOOKUP(F22,'Emission Factors &lt;HIDE&gt;'!$B$49:$C$170,2,0)*G22*S22*W22,0) + IFERROR(VLOOKUP(I22,'Emission Factors &lt;HIDE&gt;'!$B$49:$C$170,2,0)*J22*U22*W22,0) + IFERROR(VLOOKUP(F22,'Emission Factors &lt;HIDE&gt;'!$B$49:$C$170,2,0)*G22*T22,0) + IFERROR(VLOOKUP(I22,'Emission Factors &lt;HIDE&gt;'!$B$49:$C$170,2,0)*J22*V22,0))/'Definitions -AND- Conversions'!$C$40)</f>
        <v/>
      </c>
      <c r="AD22" s="704" t="str">
        <f>IF(AND(ISBLANK(N22),ISBLANK(P22)),"",(IFERROR(M22*VLOOKUP(N22,'Emission Factors &lt;HIDE&gt;'!$B$49:$C$170,2,0)*O22*X22*AB22,0) + IFERROR(VLOOKUP(P22,'Emission Factors &lt;HIDE&gt;'!$B$49:$C$170,2,0)*Q22*Z22*AB22,0) + IFERROR(M22*VLOOKUP(N22,'Emission Factors &lt;HIDE&gt;'!$B$49:$C$170,2,0)*O22*Y22,0) + IFERROR(VLOOKUP(P22,'Emission Factors &lt;HIDE&gt;'!$B$49:$C$170,2,0)*Q22*AA22,0))/'Definitions -AND- Conversions'!$C$40)</f>
        <v/>
      </c>
      <c r="AE22" s="564" t="str">
        <f>IF(AND(ISBLANK(F22),I22="",ISBLANK(N22),ISBLANK(P22)),"",(IFERROR(VLOOKUP(F22,'Emission Factors &lt;HIDE&gt;'!$B$49:$C$170,2,0)*G22*S22*W22,0) + IFERROR(VLOOKUP(I22,'Emission Factors &lt;HIDE&gt;'!$B$49:$C$170,2,0)*J22*U22*W22,0) - IFERROR(M22*VLOOKUP(N22,'Emission Factors &lt;HIDE&gt;'!$B$49:$C$170,2,0)*O22*X22*AB22,0) - IFERROR(VLOOKUP(P22,'Emission Factors &lt;HIDE&gt;'!$B$49:$C$170,2,0)*Q22*Z22*AB22,0))/'Definitions -AND- Conversions'!$C$40)</f>
        <v/>
      </c>
      <c r="AF22" s="564" t="str">
        <f>IF(AND(ISBLANK(F22),I22="",ISBLANK(N22),ISBLANK(P22)),"",(IFERROR(VLOOKUP(F22,'Emission Factors &lt;HIDE&gt;'!$B$49:$C$170,2,0)*G22*T22,0) + IFERROR(VLOOKUP(I22,'Emission Factors &lt;HIDE&gt;'!$B$49:$C$170,2,0)*J22*V22,0) - IFERROR(M22*VLOOKUP(N22,'Emission Factors &lt;HIDE&gt;'!$B$49:$C$170,2,0)*O22*Y22,0) - IFERROR(VLOOKUP(P22,'Emission Factors &lt;HIDE&gt;'!$B$49:$C$170,2,0)*Q22*AA22,0))/'Definitions -AND- Conversions'!$C$40)</f>
        <v/>
      </c>
      <c r="AG22" s="675" t="str">
        <f>IF(C22="","",SUM(AC22:AC41)-SUM(AD22:AD41))</f>
        <v/>
      </c>
      <c r="AH22" s="720" t="str">
        <f>IF(AND(H22="",K22=""),"",IFERROR(SUM(H22,K22)*$W22,""))</f>
        <v/>
      </c>
      <c r="AI22" s="720" t="str">
        <f>IF(R22="","",IFERROR(R22*M22*$AB22,""))</f>
        <v/>
      </c>
      <c r="AJ22" s="720" t="str">
        <f t="shared" ref="AJ22:AJ41" si="3">IF(AND(H22="",K22="",R22=""),"",IFERROR(SUM(H22,K22)*$W22-R22*M22*$AB22,""))</f>
        <v/>
      </c>
      <c r="AK22" s="721" t="str">
        <f>IF(C22="","",IFERROR((SUM(AH22:AH41)-SUM(AI22:AI41))*'Emission Factors &lt;HIDE&gt;'!$C$13,""))</f>
        <v/>
      </c>
    </row>
    <row r="23" spans="1:37" ht="47.25" customHeight="1" x14ac:dyDescent="0.25">
      <c r="A23" s="20"/>
      <c r="B23" s="492">
        <v>2</v>
      </c>
      <c r="C23" s="616" t="str">
        <f>IF($C$22="","",$C$22)</f>
        <v/>
      </c>
      <c r="D23" s="668" t="str">
        <f t="shared" ref="D23:D41" si="4">IF($D$22="","",$D$22)</f>
        <v/>
      </c>
      <c r="E23" s="651"/>
      <c r="F23" s="621"/>
      <c r="G23" s="712"/>
      <c r="H23" s="589"/>
      <c r="I23" s="642" t="str">
        <f>IF(D23='Defaults &lt;HIDE&gt;'!$H$12,'Emission Factors &lt;HIDE&gt;'!$B$103,"")</f>
        <v/>
      </c>
      <c r="J23" s="712"/>
      <c r="K23" s="718"/>
      <c r="L23" s="621"/>
      <c r="M23" s="206"/>
      <c r="N23" s="206"/>
      <c r="O23" s="712"/>
      <c r="P23" s="641"/>
      <c r="Q23" s="715"/>
      <c r="R23" s="690"/>
      <c r="S23" s="694" t="str">
        <f>IF(G23&gt;=2000,'Emission Factors &lt;HIDE&gt;'!$C$189,IF(G23&gt;=200,'Emission Factors &lt;HIDE&gt;'!$C$188,IF(G23&gt;=50,'Emission Factors &lt;HIDE&gt;'!$C$187,"")))</f>
        <v/>
      </c>
      <c r="T23" s="609" t="str">
        <f t="shared" si="0"/>
        <v/>
      </c>
      <c r="U23" s="609" t="str">
        <f t="shared" si="1"/>
        <v/>
      </c>
      <c r="V23" s="609" t="str">
        <f t="shared" si="2"/>
        <v/>
      </c>
      <c r="W23" s="695" t="str">
        <f>IF(AND(F23="",J23=""),"",IF(OR($C23='Defaults &lt;HIDE&gt;'!$B$12,$C23='Defaults &lt;HIDE&gt;'!$B$13,$C23='Defaults &lt;HIDE&gt;'!$B$14),15,IF(NOT($C23=""),10,"")))</f>
        <v/>
      </c>
      <c r="X23" s="694" t="str">
        <f>IF(O23="","",IF(L23='Defaults &lt;HIDE&gt;'!$D$14,'Emission Factors &lt;HIDE&gt;'!$C$190,IF(OR(L23='Defaults &lt;HIDE&gt;'!$D$15,L23='Defaults &lt;HIDE&gt;'!$D$16),'Emission Factors &lt;HIDE&gt;'!$C$191,IF(O23&gt;=2000,'Emission Factors &lt;HIDE&gt;'!$C$189,IF(O23&gt;=200,'Emission Factors &lt;HIDE&gt;'!$C$188,IF(O23&gt;50,'Emission Factors &lt;HIDE&gt;'!$C$187,'Emission Factors &lt;HIDE&gt;'!$C$186))))))</f>
        <v/>
      </c>
      <c r="Y23" s="609" t="str">
        <f>IF(L23="","",IF(OR(L23='Defaults &lt;HIDE&gt;'!$D$15,L23='Defaults &lt;HIDE&gt;'!$D$16),'Emission Factors &lt;HIDE&gt;'!$C$197,IF(O23&lt;=50,'Emission Factors &lt;HIDE&gt;'!$C$195,'Emission Factors &lt;HIDE&gt;'!$C$196)))</f>
        <v/>
      </c>
      <c r="Z23" s="609" t="str">
        <f>IF(Q23="","",IF(L23='Defaults &lt;HIDE&gt;'!$D$15,0,IF(Q23&gt;=2000,'Emission Factors &lt;HIDE&gt;'!$C$189,IF(Q23&gt;=200,'Emission Factors &lt;HIDE&gt;'!$C$188,IF(Q23&gt;=50,'Emission Factors &lt;HIDE&gt;'!$C$187,'Emission Factors &lt;HIDE&gt;'!$C$186)))))</f>
        <v/>
      </c>
      <c r="AA23" s="609" t="str">
        <f>IF(P23="","",IF(L23='Defaults &lt;HIDE&gt;'!$D$15,0,IF(Q23&lt;=50,'Emission Factors &lt;HIDE&gt;'!$C$195,'Emission Factors &lt;HIDE&gt;'!$C$196)))</f>
        <v/>
      </c>
      <c r="AB23" s="709" t="str">
        <f>IF(L23="","",IF(OR($C23='Defaults &lt;HIDE&gt;'!$B$12,$C23='Defaults &lt;HIDE&gt;'!$B$13,$C23='Defaults &lt;HIDE&gt;'!$B$14),15,IF(NOT($C23=""),10,"")))</f>
        <v/>
      </c>
      <c r="AC23" s="705" t="str">
        <f>IF(AND(ISBLANK(F23),J23=""),"",(IFERROR(VLOOKUP(F23,'Emission Factors &lt;HIDE&gt;'!$B$49:$C$170,2,0)*G23*S23*W23,0) + IFERROR(VLOOKUP(I23,'Emission Factors &lt;HIDE&gt;'!$B$49:$C$170,2,0)*J23*U23*W23,0) + IFERROR(VLOOKUP(F23,'Emission Factors &lt;HIDE&gt;'!$B$49:$C$170,2,0)*G23*T23,0) + IFERROR(VLOOKUP(I23,'Emission Factors &lt;HIDE&gt;'!$B$49:$C$170,2,0)*J23*V23,0))/'Definitions -AND- Conversions'!$C$40)</f>
        <v/>
      </c>
      <c r="AD23" s="642" t="str">
        <f>IF(AND(ISBLANK(N23),ISBLANK(P23)),"",(IFERROR(M23*VLOOKUP(N23,'Emission Factors &lt;HIDE&gt;'!$B$49:$C$170,2,0)*O23*X23*AB23,0) + IFERROR(VLOOKUP(P23,'Emission Factors &lt;HIDE&gt;'!$B$49:$C$170,2,0)*Q23*Z23*AB23,0) + IFERROR(M23*VLOOKUP(N23,'Emission Factors &lt;HIDE&gt;'!$B$49:$C$170,2,0)*O23*Y23,0) + IFERROR(VLOOKUP(P23,'Emission Factors &lt;HIDE&gt;'!$B$49:$C$170,2,0)*Q23*AA23,0))/'Definitions -AND- Conversions'!$C$40)</f>
        <v/>
      </c>
      <c r="AE23" s="634" t="str">
        <f>IF(AND(ISBLANK(F23),I23="",ISBLANK(N23),ISBLANK(P23)),"",(IFERROR(VLOOKUP(F23,'Emission Factors &lt;HIDE&gt;'!$B$49:$C$170,2,0)*G23*S23*W23,0) + IFERROR(VLOOKUP(I23,'Emission Factors &lt;HIDE&gt;'!$B$49:$C$170,2,0)*J23*U23*W23,0) - IFERROR(M23*VLOOKUP(N23,'Emission Factors &lt;HIDE&gt;'!$B$49:$C$170,2,0)*O23*X23*AB23,0) - IFERROR(VLOOKUP(P23,'Emission Factors &lt;HIDE&gt;'!$B$49:$C$170,2,0)*Q23*Z23*AB23,0))/'Definitions -AND- Conversions'!$C$40)</f>
        <v/>
      </c>
      <c r="AF23" s="634" t="str">
        <f>IF(AND(ISBLANK(F23),I23="",ISBLANK(N23),ISBLANK(P23)),"",(IFERROR(VLOOKUP(F23,'Emission Factors &lt;HIDE&gt;'!$B$49:$C$170,2,0)*G23*T23,0) + IFERROR(VLOOKUP(I23,'Emission Factors &lt;HIDE&gt;'!$B$49:$C$170,2,0)*J23*V23,0) - IFERROR(M23*VLOOKUP(N23,'Emission Factors &lt;HIDE&gt;'!$B$49:$C$170,2,0)*O23*Y23,0) - IFERROR(VLOOKUP(P23,'Emission Factors &lt;HIDE&gt;'!$B$49:$C$170,2,0)*Q23*AA23,0))/'Definitions -AND- Conversions'!$C$40)</f>
        <v/>
      </c>
      <c r="AG23" s="677"/>
      <c r="AH23" s="672" t="str">
        <f t="shared" ref="AH23:AH41" si="5">IF(AND(H23="",K23=""),"",IFERROR(SUM(H23,K23)*$W23,""))</f>
        <v/>
      </c>
      <c r="AI23" s="672" t="str">
        <f t="shared" ref="AI23:AI41" si="6">IF(R23="","",IFERROR(R23*M23*$AB23,""))</f>
        <v/>
      </c>
      <c r="AJ23" s="672" t="str">
        <f t="shared" si="3"/>
        <v/>
      </c>
      <c r="AK23" s="683"/>
    </row>
    <row r="24" spans="1:37" ht="47.25" customHeight="1" x14ac:dyDescent="0.25">
      <c r="A24" s="20"/>
      <c r="B24" s="492">
        <v>3</v>
      </c>
      <c r="C24" s="616" t="str">
        <f t="shared" ref="C24:C41" si="7">IF($C$22="","",$C$22)</f>
        <v/>
      </c>
      <c r="D24" s="668" t="str">
        <f t="shared" si="4"/>
        <v/>
      </c>
      <c r="E24" s="651"/>
      <c r="F24" s="621"/>
      <c r="G24" s="712"/>
      <c r="H24" s="589"/>
      <c r="I24" s="642" t="str">
        <f>IF(D24='Defaults &lt;HIDE&gt;'!$H$12,'Emission Factors &lt;HIDE&gt;'!$B$103,"")</f>
        <v/>
      </c>
      <c r="J24" s="712"/>
      <c r="K24" s="718"/>
      <c r="L24" s="621"/>
      <c r="M24" s="206"/>
      <c r="N24" s="206"/>
      <c r="O24" s="712"/>
      <c r="P24" s="641"/>
      <c r="Q24" s="715"/>
      <c r="R24" s="690"/>
      <c r="S24" s="694" t="str">
        <f>IF(G24&gt;=2000,'Emission Factors &lt;HIDE&gt;'!$C$189,IF(G24&gt;=200,'Emission Factors &lt;HIDE&gt;'!$C$188,IF(G24&gt;=50,'Emission Factors &lt;HIDE&gt;'!$C$187,"")))</f>
        <v/>
      </c>
      <c r="T24" s="609" t="str">
        <f t="shared" si="0"/>
        <v/>
      </c>
      <c r="U24" s="609" t="str">
        <f t="shared" si="1"/>
        <v/>
      </c>
      <c r="V24" s="609" t="str">
        <f t="shared" si="2"/>
        <v/>
      </c>
      <c r="W24" s="695" t="str">
        <f>IF(AND(F24="",J24=""),"",IF(OR($C24='Defaults &lt;HIDE&gt;'!$B$12,$C24='Defaults &lt;HIDE&gt;'!$B$13,$C24='Defaults &lt;HIDE&gt;'!$B$14),15,IF(NOT($C24=""),10,"")))</f>
        <v/>
      </c>
      <c r="X24" s="694" t="str">
        <f>IF(O24="","",IF(L24='Defaults &lt;HIDE&gt;'!$D$14,'Emission Factors &lt;HIDE&gt;'!$C$190,IF(OR(L24='Defaults &lt;HIDE&gt;'!$D$15,L24='Defaults &lt;HIDE&gt;'!$D$16),'Emission Factors &lt;HIDE&gt;'!$C$191,IF(O24&gt;=2000,'Emission Factors &lt;HIDE&gt;'!$C$189,IF(O24&gt;=200,'Emission Factors &lt;HIDE&gt;'!$C$188,IF(O24&gt;50,'Emission Factors &lt;HIDE&gt;'!$C$187,'Emission Factors &lt;HIDE&gt;'!$C$186))))))</f>
        <v/>
      </c>
      <c r="Y24" s="609" t="str">
        <f>IF(L24="","",IF(OR(L24='Defaults &lt;HIDE&gt;'!$D$15,L24='Defaults &lt;HIDE&gt;'!$D$16),'Emission Factors &lt;HIDE&gt;'!$C$197,IF(O24&lt;=50,'Emission Factors &lt;HIDE&gt;'!$C$195,'Emission Factors &lt;HIDE&gt;'!$C$196)))</f>
        <v/>
      </c>
      <c r="Z24" s="609" t="str">
        <f>IF(Q24="","",IF(L24='Defaults &lt;HIDE&gt;'!$D$15,0,IF(Q24&gt;=2000,'Emission Factors &lt;HIDE&gt;'!$C$189,IF(Q24&gt;=200,'Emission Factors &lt;HIDE&gt;'!$C$188,IF(Q24&gt;=50,'Emission Factors &lt;HIDE&gt;'!$C$187,'Emission Factors &lt;HIDE&gt;'!$C$186)))))</f>
        <v/>
      </c>
      <c r="AA24" s="609" t="str">
        <f>IF(P24="","",IF(L24='Defaults &lt;HIDE&gt;'!$D$15,0,IF(Q24&lt;=50,'Emission Factors &lt;HIDE&gt;'!$C$195,'Emission Factors &lt;HIDE&gt;'!$C$196)))</f>
        <v/>
      </c>
      <c r="AB24" s="709" t="str">
        <f>IF(L24="","",IF(OR($C24='Defaults &lt;HIDE&gt;'!$B$12,$C24='Defaults &lt;HIDE&gt;'!$B$13,$C24='Defaults &lt;HIDE&gt;'!$B$14),15,IF(NOT($C24=""),10,"")))</f>
        <v/>
      </c>
      <c r="AC24" s="705" t="str">
        <f>IF(AND(ISBLANK(F24),J24=""),"",(IFERROR(VLOOKUP(F24,'Emission Factors &lt;HIDE&gt;'!$B$49:$C$170,2,0)*G24*S24*W24,0) + IFERROR(VLOOKUP(I24,'Emission Factors &lt;HIDE&gt;'!$B$49:$C$170,2,0)*J24*U24*W24,0) + IFERROR(VLOOKUP(F24,'Emission Factors &lt;HIDE&gt;'!$B$49:$C$170,2,0)*G24*T24,0) + IFERROR(VLOOKUP(I24,'Emission Factors &lt;HIDE&gt;'!$B$49:$C$170,2,0)*J24*V24,0))/'Definitions -AND- Conversions'!$C$40)</f>
        <v/>
      </c>
      <c r="AD24" s="642" t="str">
        <f>IF(AND(ISBLANK(N24),ISBLANK(P24)),"",(IFERROR(M24*VLOOKUP(N24,'Emission Factors &lt;HIDE&gt;'!$B$49:$C$170,2,0)*O24*X24*AB24,0) + IFERROR(VLOOKUP(P24,'Emission Factors &lt;HIDE&gt;'!$B$49:$C$170,2,0)*Q24*Z24*AB24,0) + IFERROR(M24*VLOOKUP(N24,'Emission Factors &lt;HIDE&gt;'!$B$49:$C$170,2,0)*O24*Y24,0) + IFERROR(VLOOKUP(P24,'Emission Factors &lt;HIDE&gt;'!$B$49:$C$170,2,0)*Q24*AA24,0))/'Definitions -AND- Conversions'!$C$40)</f>
        <v/>
      </c>
      <c r="AE24" s="634" t="str">
        <f>IF(AND(ISBLANK(F24),I24="",ISBLANK(N24),ISBLANK(P24)),"",(IFERROR(VLOOKUP(F24,'Emission Factors &lt;HIDE&gt;'!$B$49:$C$170,2,0)*G24*S24*W24,0) + IFERROR(VLOOKUP(I24,'Emission Factors &lt;HIDE&gt;'!$B$49:$C$170,2,0)*J24*U24*W24,0) - IFERROR(M24*VLOOKUP(N24,'Emission Factors &lt;HIDE&gt;'!$B$49:$C$170,2,0)*O24*X24*AB24,0) - IFERROR(VLOOKUP(P24,'Emission Factors &lt;HIDE&gt;'!$B$49:$C$170,2,0)*Q24*Z24*AB24,0))/'Definitions -AND- Conversions'!$C$40)</f>
        <v/>
      </c>
      <c r="AF24" s="634" t="str">
        <f>IF(AND(ISBLANK(F24),I24="",ISBLANK(N24),ISBLANK(P24)),"",(IFERROR(VLOOKUP(F24,'Emission Factors &lt;HIDE&gt;'!$B$49:$C$170,2,0)*G24*T24,0) + IFERROR(VLOOKUP(I24,'Emission Factors &lt;HIDE&gt;'!$B$49:$C$170,2,0)*J24*V24,0) - IFERROR(M24*VLOOKUP(N24,'Emission Factors &lt;HIDE&gt;'!$B$49:$C$170,2,0)*O24*Y24,0) - IFERROR(VLOOKUP(P24,'Emission Factors &lt;HIDE&gt;'!$B$49:$C$170,2,0)*Q24*AA24,0))/'Definitions -AND- Conversions'!$C$40)</f>
        <v/>
      </c>
      <c r="AG24" s="677"/>
      <c r="AH24" s="672" t="str">
        <f t="shared" si="5"/>
        <v/>
      </c>
      <c r="AI24" s="672" t="str">
        <f t="shared" si="6"/>
        <v/>
      </c>
      <c r="AJ24" s="672" t="str">
        <f t="shared" si="3"/>
        <v/>
      </c>
      <c r="AK24" s="683"/>
    </row>
    <row r="25" spans="1:37" ht="47.25" customHeight="1" x14ac:dyDescent="0.25">
      <c r="A25" s="20"/>
      <c r="B25" s="492">
        <v>4</v>
      </c>
      <c r="C25" s="616" t="str">
        <f t="shared" si="7"/>
        <v/>
      </c>
      <c r="D25" s="668" t="str">
        <f t="shared" si="4"/>
        <v/>
      </c>
      <c r="E25" s="651"/>
      <c r="F25" s="621"/>
      <c r="G25" s="712"/>
      <c r="H25" s="589"/>
      <c r="I25" s="642" t="str">
        <f>IF(D25='Defaults &lt;HIDE&gt;'!$H$12,'Emission Factors &lt;HIDE&gt;'!$B$103,"")</f>
        <v/>
      </c>
      <c r="J25" s="712"/>
      <c r="K25" s="718"/>
      <c r="L25" s="621"/>
      <c r="M25" s="206"/>
      <c r="N25" s="206"/>
      <c r="O25" s="712"/>
      <c r="P25" s="641"/>
      <c r="Q25" s="715"/>
      <c r="R25" s="690"/>
      <c r="S25" s="694" t="str">
        <f>IF(G25&gt;=2000,'Emission Factors &lt;HIDE&gt;'!$C$189,IF(G25&gt;=200,'Emission Factors &lt;HIDE&gt;'!$C$188,IF(G25&gt;=50,'Emission Factors &lt;HIDE&gt;'!$C$187,"")))</f>
        <v/>
      </c>
      <c r="T25" s="609" t="str">
        <f t="shared" si="0"/>
        <v/>
      </c>
      <c r="U25" s="609" t="str">
        <f t="shared" si="1"/>
        <v/>
      </c>
      <c r="V25" s="609" t="str">
        <f t="shared" si="2"/>
        <v/>
      </c>
      <c r="W25" s="695" t="str">
        <f>IF(AND(F25="",J25=""),"",IF(OR($C25='Defaults &lt;HIDE&gt;'!$B$12,$C25='Defaults &lt;HIDE&gt;'!$B$13,$C25='Defaults &lt;HIDE&gt;'!$B$14),15,IF(NOT($C25=""),10,"")))</f>
        <v/>
      </c>
      <c r="X25" s="694" t="str">
        <f>IF(O25="","",IF(L25='Defaults &lt;HIDE&gt;'!$D$14,'Emission Factors &lt;HIDE&gt;'!$C$190,IF(OR(L25='Defaults &lt;HIDE&gt;'!$D$15,L25='Defaults &lt;HIDE&gt;'!$D$16),'Emission Factors &lt;HIDE&gt;'!$C$191,IF(O25&gt;=2000,'Emission Factors &lt;HIDE&gt;'!$C$189,IF(O25&gt;=200,'Emission Factors &lt;HIDE&gt;'!$C$188,IF(O25&gt;50,'Emission Factors &lt;HIDE&gt;'!$C$187,'Emission Factors &lt;HIDE&gt;'!$C$186))))))</f>
        <v/>
      </c>
      <c r="Y25" s="609" t="str">
        <f>IF(L25="","",IF(OR(L25='Defaults &lt;HIDE&gt;'!$D$15,L25='Defaults &lt;HIDE&gt;'!$D$16),'Emission Factors &lt;HIDE&gt;'!$C$197,IF(O25&lt;=50,'Emission Factors &lt;HIDE&gt;'!$C$195,'Emission Factors &lt;HIDE&gt;'!$C$196)))</f>
        <v/>
      </c>
      <c r="Z25" s="609" t="str">
        <f>IF(Q25="","",IF(L25='Defaults &lt;HIDE&gt;'!$D$15,0,IF(Q25&gt;=2000,'Emission Factors &lt;HIDE&gt;'!$C$189,IF(Q25&gt;=200,'Emission Factors &lt;HIDE&gt;'!$C$188,IF(Q25&gt;=50,'Emission Factors &lt;HIDE&gt;'!$C$187,'Emission Factors &lt;HIDE&gt;'!$C$186)))))</f>
        <v/>
      </c>
      <c r="AA25" s="609" t="str">
        <f>IF(P25="","",IF(L25='Defaults &lt;HIDE&gt;'!$D$15,0,IF(Q25&lt;=50,'Emission Factors &lt;HIDE&gt;'!$C$195,'Emission Factors &lt;HIDE&gt;'!$C$196)))</f>
        <v/>
      </c>
      <c r="AB25" s="709" t="str">
        <f>IF(L25="","",IF(OR($C25='Defaults &lt;HIDE&gt;'!$B$12,$C25='Defaults &lt;HIDE&gt;'!$B$13,$C25='Defaults &lt;HIDE&gt;'!$B$14),15,IF(NOT($C25=""),10,"")))</f>
        <v/>
      </c>
      <c r="AC25" s="705" t="str">
        <f>IF(AND(ISBLANK(F25),J25=""),"",(IFERROR(VLOOKUP(F25,'Emission Factors &lt;HIDE&gt;'!$B$49:$C$170,2,0)*G25*S25*W25,0) + IFERROR(VLOOKUP(I25,'Emission Factors &lt;HIDE&gt;'!$B$49:$C$170,2,0)*J25*U25*W25,0) + IFERROR(VLOOKUP(F25,'Emission Factors &lt;HIDE&gt;'!$B$49:$C$170,2,0)*G25*T25,0) + IFERROR(VLOOKUP(I25,'Emission Factors &lt;HIDE&gt;'!$B$49:$C$170,2,0)*J25*V25,0))/'Definitions -AND- Conversions'!$C$40)</f>
        <v/>
      </c>
      <c r="AD25" s="642" t="str">
        <f>IF(AND(ISBLANK(N25),ISBLANK(P25)),"",(IFERROR(M25*VLOOKUP(N25,'Emission Factors &lt;HIDE&gt;'!$B$49:$C$170,2,0)*O25*X25*AB25,0) + IFERROR(VLOOKUP(P25,'Emission Factors &lt;HIDE&gt;'!$B$49:$C$170,2,0)*Q25*Z25*AB25,0) + IFERROR(M25*VLOOKUP(N25,'Emission Factors &lt;HIDE&gt;'!$B$49:$C$170,2,0)*O25*Y25,0) + IFERROR(VLOOKUP(P25,'Emission Factors &lt;HIDE&gt;'!$B$49:$C$170,2,0)*Q25*AA25,0))/'Definitions -AND- Conversions'!$C$40)</f>
        <v/>
      </c>
      <c r="AE25" s="634" t="str">
        <f>IF(AND(ISBLANK(F25),I25="",ISBLANK(N25),ISBLANK(P25)),"",(IFERROR(VLOOKUP(F25,'Emission Factors &lt;HIDE&gt;'!$B$49:$C$170,2,0)*G25*S25*W25,0) + IFERROR(VLOOKUP(I25,'Emission Factors &lt;HIDE&gt;'!$B$49:$C$170,2,0)*J25*U25*W25,0) - IFERROR(M25*VLOOKUP(N25,'Emission Factors &lt;HIDE&gt;'!$B$49:$C$170,2,0)*O25*X25*AB25,0) - IFERROR(VLOOKUP(P25,'Emission Factors &lt;HIDE&gt;'!$B$49:$C$170,2,0)*Q25*Z25*AB25,0))/'Definitions -AND- Conversions'!$C$40)</f>
        <v/>
      </c>
      <c r="AF25" s="634" t="str">
        <f>IF(AND(ISBLANK(F25),I25="",ISBLANK(N25),ISBLANK(P25)),"",(IFERROR(VLOOKUP(F25,'Emission Factors &lt;HIDE&gt;'!$B$49:$C$170,2,0)*G25*T25,0) + IFERROR(VLOOKUP(I25,'Emission Factors &lt;HIDE&gt;'!$B$49:$C$170,2,0)*J25*V25,0) - IFERROR(M25*VLOOKUP(N25,'Emission Factors &lt;HIDE&gt;'!$B$49:$C$170,2,0)*O25*Y25,0) - IFERROR(VLOOKUP(P25,'Emission Factors &lt;HIDE&gt;'!$B$49:$C$170,2,0)*Q25*AA25,0))/'Definitions -AND- Conversions'!$C$40)</f>
        <v/>
      </c>
      <c r="AG25" s="677"/>
      <c r="AH25" s="672" t="str">
        <f t="shared" si="5"/>
        <v/>
      </c>
      <c r="AI25" s="672" t="str">
        <f t="shared" si="6"/>
        <v/>
      </c>
      <c r="AJ25" s="672" t="str">
        <f t="shared" si="3"/>
        <v/>
      </c>
      <c r="AK25" s="683"/>
    </row>
    <row r="26" spans="1:37" ht="47.25" customHeight="1" x14ac:dyDescent="0.25">
      <c r="A26" s="20"/>
      <c r="B26" s="492">
        <v>5</v>
      </c>
      <c r="C26" s="616" t="str">
        <f t="shared" si="7"/>
        <v/>
      </c>
      <c r="D26" s="668" t="str">
        <f t="shared" si="4"/>
        <v/>
      </c>
      <c r="E26" s="651"/>
      <c r="F26" s="621"/>
      <c r="G26" s="712"/>
      <c r="H26" s="589"/>
      <c r="I26" s="642" t="str">
        <f>IF(D26='Defaults &lt;HIDE&gt;'!$H$12,'Emission Factors &lt;HIDE&gt;'!$B$103,"")</f>
        <v/>
      </c>
      <c r="J26" s="712"/>
      <c r="K26" s="718"/>
      <c r="L26" s="621"/>
      <c r="M26" s="206"/>
      <c r="N26" s="206"/>
      <c r="O26" s="712"/>
      <c r="P26" s="641"/>
      <c r="Q26" s="715"/>
      <c r="R26" s="690"/>
      <c r="S26" s="694" t="str">
        <f>IF(G26&gt;=2000,'Emission Factors &lt;HIDE&gt;'!$C$189,IF(G26&gt;=200,'Emission Factors &lt;HIDE&gt;'!$C$188,IF(G26&gt;=50,'Emission Factors &lt;HIDE&gt;'!$C$187,"")))</f>
        <v/>
      </c>
      <c r="T26" s="609" t="str">
        <f t="shared" si="0"/>
        <v/>
      </c>
      <c r="U26" s="609" t="str">
        <f t="shared" si="1"/>
        <v/>
      </c>
      <c r="V26" s="609" t="str">
        <f t="shared" si="2"/>
        <v/>
      </c>
      <c r="W26" s="695" t="str">
        <f>IF(AND(F26="",J26=""),"",IF(OR($C26='Defaults &lt;HIDE&gt;'!$B$12,$C26='Defaults &lt;HIDE&gt;'!$B$13,$C26='Defaults &lt;HIDE&gt;'!$B$14),15,IF(NOT($C26=""),10,"")))</f>
        <v/>
      </c>
      <c r="X26" s="694" t="str">
        <f>IF(O26="","",IF(L26='Defaults &lt;HIDE&gt;'!$D$14,'Emission Factors &lt;HIDE&gt;'!$C$190,IF(OR(L26='Defaults &lt;HIDE&gt;'!$D$15,L26='Defaults &lt;HIDE&gt;'!$D$16),'Emission Factors &lt;HIDE&gt;'!$C$191,IF(O26&gt;=2000,'Emission Factors &lt;HIDE&gt;'!$C$189,IF(O26&gt;=200,'Emission Factors &lt;HIDE&gt;'!$C$188,IF(O26&gt;50,'Emission Factors &lt;HIDE&gt;'!$C$187,'Emission Factors &lt;HIDE&gt;'!$C$186))))))</f>
        <v/>
      </c>
      <c r="Y26" s="609" t="str">
        <f>IF(L26="","",IF(OR(L26='Defaults &lt;HIDE&gt;'!$D$15,L26='Defaults &lt;HIDE&gt;'!$D$16),'Emission Factors &lt;HIDE&gt;'!$C$197,IF(O26&lt;=50,'Emission Factors &lt;HIDE&gt;'!$C$195,'Emission Factors &lt;HIDE&gt;'!$C$196)))</f>
        <v/>
      </c>
      <c r="Z26" s="609" t="str">
        <f>IF(Q26="","",IF(L26='Defaults &lt;HIDE&gt;'!$D$15,0,IF(Q26&gt;=2000,'Emission Factors &lt;HIDE&gt;'!$C$189,IF(Q26&gt;=200,'Emission Factors &lt;HIDE&gt;'!$C$188,IF(Q26&gt;=50,'Emission Factors &lt;HIDE&gt;'!$C$187,'Emission Factors &lt;HIDE&gt;'!$C$186)))))</f>
        <v/>
      </c>
      <c r="AA26" s="609" t="str">
        <f>IF(P26="","",IF(L26='Defaults &lt;HIDE&gt;'!$D$15,0,IF(Q26&lt;=50,'Emission Factors &lt;HIDE&gt;'!$C$195,'Emission Factors &lt;HIDE&gt;'!$C$196)))</f>
        <v/>
      </c>
      <c r="AB26" s="709" t="str">
        <f>IF(L26="","",IF(OR($C26='Defaults &lt;HIDE&gt;'!$B$12,$C26='Defaults &lt;HIDE&gt;'!$B$13,$C26='Defaults &lt;HIDE&gt;'!$B$14),15,IF(NOT($C26=""),10,"")))</f>
        <v/>
      </c>
      <c r="AC26" s="705" t="str">
        <f>IF(AND(ISBLANK(F26),J26=""),"",(IFERROR(VLOOKUP(F26,'Emission Factors &lt;HIDE&gt;'!$B$49:$C$170,2,0)*G26*S26*W26,0) + IFERROR(VLOOKUP(I26,'Emission Factors &lt;HIDE&gt;'!$B$49:$C$170,2,0)*J26*U26*W26,0) + IFERROR(VLOOKUP(F26,'Emission Factors &lt;HIDE&gt;'!$B$49:$C$170,2,0)*G26*T26,0) + IFERROR(VLOOKUP(I26,'Emission Factors &lt;HIDE&gt;'!$B$49:$C$170,2,0)*J26*V26,0))/'Definitions -AND- Conversions'!$C$40)</f>
        <v/>
      </c>
      <c r="AD26" s="642" t="str">
        <f>IF(AND(ISBLANK(N26),ISBLANK(P26)),"",(IFERROR(M26*VLOOKUP(N26,'Emission Factors &lt;HIDE&gt;'!$B$49:$C$170,2,0)*O26*X26*AB26,0) + IFERROR(VLOOKUP(P26,'Emission Factors &lt;HIDE&gt;'!$B$49:$C$170,2,0)*Q26*Z26*AB26,0) + IFERROR(M26*VLOOKUP(N26,'Emission Factors &lt;HIDE&gt;'!$B$49:$C$170,2,0)*O26*Y26,0) + IFERROR(VLOOKUP(P26,'Emission Factors &lt;HIDE&gt;'!$B$49:$C$170,2,0)*Q26*AA26,0))/'Definitions -AND- Conversions'!$C$40)</f>
        <v/>
      </c>
      <c r="AE26" s="634" t="str">
        <f>IF(AND(ISBLANK(F26),I26="",ISBLANK(N26),ISBLANK(P26)),"",(IFERROR(VLOOKUP(F26,'Emission Factors &lt;HIDE&gt;'!$B$49:$C$170,2,0)*G26*S26*W26,0) + IFERROR(VLOOKUP(I26,'Emission Factors &lt;HIDE&gt;'!$B$49:$C$170,2,0)*J26*U26*W26,0) - IFERROR(M26*VLOOKUP(N26,'Emission Factors &lt;HIDE&gt;'!$B$49:$C$170,2,0)*O26*X26*AB26,0) - IFERROR(VLOOKUP(P26,'Emission Factors &lt;HIDE&gt;'!$B$49:$C$170,2,0)*Q26*Z26*AB26,0))/'Definitions -AND- Conversions'!$C$40)</f>
        <v/>
      </c>
      <c r="AF26" s="634" t="str">
        <f>IF(AND(ISBLANK(F26),I26="",ISBLANK(N26),ISBLANK(P26)),"",(IFERROR(VLOOKUP(F26,'Emission Factors &lt;HIDE&gt;'!$B$49:$C$170,2,0)*G26*T26,0) + IFERROR(VLOOKUP(I26,'Emission Factors &lt;HIDE&gt;'!$B$49:$C$170,2,0)*J26*V26,0) - IFERROR(M26*VLOOKUP(N26,'Emission Factors &lt;HIDE&gt;'!$B$49:$C$170,2,0)*O26*Y26,0) - IFERROR(VLOOKUP(P26,'Emission Factors &lt;HIDE&gt;'!$B$49:$C$170,2,0)*Q26*AA26,0))/'Definitions -AND- Conversions'!$C$40)</f>
        <v/>
      </c>
      <c r="AG26" s="677"/>
      <c r="AH26" s="672" t="str">
        <f t="shared" si="5"/>
        <v/>
      </c>
      <c r="AI26" s="672" t="str">
        <f t="shared" si="6"/>
        <v/>
      </c>
      <c r="AJ26" s="672" t="str">
        <f t="shared" si="3"/>
        <v/>
      </c>
      <c r="AK26" s="683"/>
    </row>
    <row r="27" spans="1:37" ht="47.25" customHeight="1" x14ac:dyDescent="0.25">
      <c r="A27" s="20"/>
      <c r="B27" s="492">
        <v>6</v>
      </c>
      <c r="C27" s="616" t="str">
        <f t="shared" si="7"/>
        <v/>
      </c>
      <c r="D27" s="668" t="str">
        <f t="shared" si="4"/>
        <v/>
      </c>
      <c r="E27" s="651"/>
      <c r="F27" s="621"/>
      <c r="G27" s="712"/>
      <c r="H27" s="589"/>
      <c r="I27" s="642" t="str">
        <f>IF(D27='Defaults &lt;HIDE&gt;'!$H$12,'Emission Factors &lt;HIDE&gt;'!$B$103,"")</f>
        <v/>
      </c>
      <c r="J27" s="712"/>
      <c r="K27" s="718"/>
      <c r="L27" s="621"/>
      <c r="M27" s="206"/>
      <c r="N27" s="206"/>
      <c r="O27" s="712"/>
      <c r="P27" s="641"/>
      <c r="Q27" s="715"/>
      <c r="R27" s="690"/>
      <c r="S27" s="694" t="str">
        <f>IF(G27&gt;=2000,'Emission Factors &lt;HIDE&gt;'!$C$189,IF(G27&gt;=200,'Emission Factors &lt;HIDE&gt;'!$C$188,IF(G27&gt;=50,'Emission Factors &lt;HIDE&gt;'!$C$187,"")))</f>
        <v/>
      </c>
      <c r="T27" s="609" t="str">
        <f t="shared" si="0"/>
        <v/>
      </c>
      <c r="U27" s="609" t="str">
        <f t="shared" si="1"/>
        <v/>
      </c>
      <c r="V27" s="609" t="str">
        <f t="shared" si="2"/>
        <v/>
      </c>
      <c r="W27" s="695" t="str">
        <f>IF(AND(F27="",J27=""),"",IF(OR($C27='Defaults &lt;HIDE&gt;'!$B$12,$C27='Defaults &lt;HIDE&gt;'!$B$13,$C27='Defaults &lt;HIDE&gt;'!$B$14),15,IF(NOT($C27=""),10,"")))</f>
        <v/>
      </c>
      <c r="X27" s="694" t="str">
        <f>IF(O27="","",IF(L27='Defaults &lt;HIDE&gt;'!$D$14,'Emission Factors &lt;HIDE&gt;'!$C$190,IF(OR(L27='Defaults &lt;HIDE&gt;'!$D$15,L27='Defaults &lt;HIDE&gt;'!$D$16),'Emission Factors &lt;HIDE&gt;'!$C$191,IF(O27&gt;=2000,'Emission Factors &lt;HIDE&gt;'!$C$189,IF(O27&gt;=200,'Emission Factors &lt;HIDE&gt;'!$C$188,IF(O27&gt;50,'Emission Factors &lt;HIDE&gt;'!$C$187,'Emission Factors &lt;HIDE&gt;'!$C$186))))))</f>
        <v/>
      </c>
      <c r="Y27" s="609" t="str">
        <f>IF(L27="","",IF(OR(L27='Defaults &lt;HIDE&gt;'!$D$15,L27='Defaults &lt;HIDE&gt;'!$D$16),'Emission Factors &lt;HIDE&gt;'!$C$197,IF(O27&lt;=50,'Emission Factors &lt;HIDE&gt;'!$C$195,'Emission Factors &lt;HIDE&gt;'!$C$196)))</f>
        <v/>
      </c>
      <c r="Z27" s="609" t="str">
        <f>IF(Q27="","",IF(L27='Defaults &lt;HIDE&gt;'!$D$15,0,IF(Q27&gt;=2000,'Emission Factors &lt;HIDE&gt;'!$C$189,IF(Q27&gt;=200,'Emission Factors &lt;HIDE&gt;'!$C$188,IF(Q27&gt;=50,'Emission Factors &lt;HIDE&gt;'!$C$187,'Emission Factors &lt;HIDE&gt;'!$C$186)))))</f>
        <v/>
      </c>
      <c r="AA27" s="609" t="str">
        <f>IF(P27="","",IF(L27='Defaults &lt;HIDE&gt;'!$D$15,0,IF(Q27&lt;=50,'Emission Factors &lt;HIDE&gt;'!$C$195,'Emission Factors &lt;HIDE&gt;'!$C$196)))</f>
        <v/>
      </c>
      <c r="AB27" s="709" t="str">
        <f>IF(L27="","",IF(OR($C27='Defaults &lt;HIDE&gt;'!$B$12,$C27='Defaults &lt;HIDE&gt;'!$B$13,$C27='Defaults &lt;HIDE&gt;'!$B$14),15,IF(NOT($C27=""),10,"")))</f>
        <v/>
      </c>
      <c r="AC27" s="705" t="str">
        <f>IF(AND(ISBLANK(F27),J27=""),"",(IFERROR(VLOOKUP(F27,'Emission Factors &lt;HIDE&gt;'!$B$49:$C$170,2,0)*G27*S27*W27,0) + IFERROR(VLOOKUP(I27,'Emission Factors &lt;HIDE&gt;'!$B$49:$C$170,2,0)*J27*U27*W27,0) + IFERROR(VLOOKUP(F27,'Emission Factors &lt;HIDE&gt;'!$B$49:$C$170,2,0)*G27*T27,0) + IFERROR(VLOOKUP(I27,'Emission Factors &lt;HIDE&gt;'!$B$49:$C$170,2,0)*J27*V27,0))/'Definitions -AND- Conversions'!$C$40)</f>
        <v/>
      </c>
      <c r="AD27" s="642" t="str">
        <f>IF(AND(ISBLANK(N27),ISBLANK(P27)),"",(IFERROR(M27*VLOOKUP(N27,'Emission Factors &lt;HIDE&gt;'!$B$49:$C$170,2,0)*O27*X27*AB27,0) + IFERROR(VLOOKUP(P27,'Emission Factors &lt;HIDE&gt;'!$B$49:$C$170,2,0)*Q27*Z27*AB27,0) + IFERROR(M27*VLOOKUP(N27,'Emission Factors &lt;HIDE&gt;'!$B$49:$C$170,2,0)*O27*Y27,0) + IFERROR(VLOOKUP(P27,'Emission Factors &lt;HIDE&gt;'!$B$49:$C$170,2,0)*Q27*AA27,0))/'Definitions -AND- Conversions'!$C$40)</f>
        <v/>
      </c>
      <c r="AE27" s="634" t="str">
        <f>IF(AND(ISBLANK(F27),I27="",ISBLANK(N27),ISBLANK(P27)),"",(IFERROR(VLOOKUP(F27,'Emission Factors &lt;HIDE&gt;'!$B$49:$C$170,2,0)*G27*S27*W27,0) + IFERROR(VLOOKUP(I27,'Emission Factors &lt;HIDE&gt;'!$B$49:$C$170,2,0)*J27*U27*W27,0) - IFERROR(M27*VLOOKUP(N27,'Emission Factors &lt;HIDE&gt;'!$B$49:$C$170,2,0)*O27*X27*AB27,0) - IFERROR(VLOOKUP(P27,'Emission Factors &lt;HIDE&gt;'!$B$49:$C$170,2,0)*Q27*Z27*AB27,0))/'Definitions -AND- Conversions'!$C$40)</f>
        <v/>
      </c>
      <c r="AF27" s="634" t="str">
        <f>IF(AND(ISBLANK(F27),I27="",ISBLANK(N27),ISBLANK(P27)),"",(IFERROR(VLOOKUP(F27,'Emission Factors &lt;HIDE&gt;'!$B$49:$C$170,2,0)*G27*T27,0) + IFERROR(VLOOKUP(I27,'Emission Factors &lt;HIDE&gt;'!$B$49:$C$170,2,0)*J27*V27,0) - IFERROR(M27*VLOOKUP(N27,'Emission Factors &lt;HIDE&gt;'!$B$49:$C$170,2,0)*O27*Y27,0) - IFERROR(VLOOKUP(P27,'Emission Factors &lt;HIDE&gt;'!$B$49:$C$170,2,0)*Q27*AA27,0))/'Definitions -AND- Conversions'!$C$40)</f>
        <v/>
      </c>
      <c r="AG27" s="677"/>
      <c r="AH27" s="672" t="str">
        <f t="shared" si="5"/>
        <v/>
      </c>
      <c r="AI27" s="672" t="str">
        <f t="shared" si="6"/>
        <v/>
      </c>
      <c r="AJ27" s="672" t="str">
        <f t="shared" si="3"/>
        <v/>
      </c>
      <c r="AK27" s="683"/>
    </row>
    <row r="28" spans="1:37" ht="47.25" customHeight="1" x14ac:dyDescent="0.25">
      <c r="A28" s="20"/>
      <c r="B28" s="492">
        <v>7</v>
      </c>
      <c r="C28" s="616" t="str">
        <f t="shared" si="7"/>
        <v/>
      </c>
      <c r="D28" s="668" t="str">
        <f t="shared" si="4"/>
        <v/>
      </c>
      <c r="E28" s="651"/>
      <c r="F28" s="621"/>
      <c r="G28" s="712"/>
      <c r="H28" s="589"/>
      <c r="I28" s="642" t="str">
        <f>IF(D28='Defaults &lt;HIDE&gt;'!$H$12,'Emission Factors &lt;HIDE&gt;'!$B$103,"")</f>
        <v/>
      </c>
      <c r="J28" s="712"/>
      <c r="K28" s="718"/>
      <c r="L28" s="621"/>
      <c r="M28" s="206"/>
      <c r="N28" s="206"/>
      <c r="O28" s="712"/>
      <c r="P28" s="641"/>
      <c r="Q28" s="715"/>
      <c r="R28" s="690"/>
      <c r="S28" s="694" t="str">
        <f>IF(G28&gt;=2000,'Emission Factors &lt;HIDE&gt;'!$C$189,IF(G28&gt;=200,'Emission Factors &lt;HIDE&gt;'!$C$188,IF(G28&gt;=50,'Emission Factors &lt;HIDE&gt;'!$C$187,"")))</f>
        <v/>
      </c>
      <c r="T28" s="609" t="str">
        <f t="shared" si="0"/>
        <v/>
      </c>
      <c r="U28" s="609" t="str">
        <f t="shared" si="1"/>
        <v/>
      </c>
      <c r="V28" s="609" t="str">
        <f t="shared" si="2"/>
        <v/>
      </c>
      <c r="W28" s="695" t="str">
        <f>IF(AND(F28="",J28=""),"",IF(OR($C28='Defaults &lt;HIDE&gt;'!$B$12,$C28='Defaults &lt;HIDE&gt;'!$B$13,$C28='Defaults &lt;HIDE&gt;'!$B$14),15,IF(NOT($C28=""),10,"")))</f>
        <v/>
      </c>
      <c r="X28" s="694" t="str">
        <f>IF(O28="","",IF(L28='Defaults &lt;HIDE&gt;'!$D$14,'Emission Factors &lt;HIDE&gt;'!$C$190,IF(OR(L28='Defaults &lt;HIDE&gt;'!$D$15,L28='Defaults &lt;HIDE&gt;'!$D$16),'Emission Factors &lt;HIDE&gt;'!$C$191,IF(O28&gt;=2000,'Emission Factors &lt;HIDE&gt;'!$C$189,IF(O28&gt;=200,'Emission Factors &lt;HIDE&gt;'!$C$188,IF(O28&gt;50,'Emission Factors &lt;HIDE&gt;'!$C$187,'Emission Factors &lt;HIDE&gt;'!$C$186))))))</f>
        <v/>
      </c>
      <c r="Y28" s="609" t="str">
        <f>IF(L28="","",IF(OR(L28='Defaults &lt;HIDE&gt;'!$D$15,L28='Defaults &lt;HIDE&gt;'!$D$16),'Emission Factors &lt;HIDE&gt;'!$C$197,IF(O28&lt;=50,'Emission Factors &lt;HIDE&gt;'!$C$195,'Emission Factors &lt;HIDE&gt;'!$C$196)))</f>
        <v/>
      </c>
      <c r="Z28" s="609" t="str">
        <f>IF(Q28="","",IF(L28='Defaults &lt;HIDE&gt;'!$D$15,0,IF(Q28&gt;=2000,'Emission Factors &lt;HIDE&gt;'!$C$189,IF(Q28&gt;=200,'Emission Factors &lt;HIDE&gt;'!$C$188,IF(Q28&gt;=50,'Emission Factors &lt;HIDE&gt;'!$C$187,'Emission Factors &lt;HIDE&gt;'!$C$186)))))</f>
        <v/>
      </c>
      <c r="AA28" s="609" t="str">
        <f>IF(P28="","",IF(L28='Defaults &lt;HIDE&gt;'!$D$15,0,IF(Q28&lt;=50,'Emission Factors &lt;HIDE&gt;'!$C$195,'Emission Factors &lt;HIDE&gt;'!$C$196)))</f>
        <v/>
      </c>
      <c r="AB28" s="709" t="str">
        <f>IF(L28="","",IF(OR($C28='Defaults &lt;HIDE&gt;'!$B$12,$C28='Defaults &lt;HIDE&gt;'!$B$13,$C28='Defaults &lt;HIDE&gt;'!$B$14),15,IF(NOT($C28=""),10,"")))</f>
        <v/>
      </c>
      <c r="AC28" s="705" t="str">
        <f>IF(AND(ISBLANK(F28),J28=""),"",(IFERROR(VLOOKUP(F28,'Emission Factors &lt;HIDE&gt;'!$B$49:$C$170,2,0)*G28*S28*W28,0) + IFERROR(VLOOKUP(I28,'Emission Factors &lt;HIDE&gt;'!$B$49:$C$170,2,0)*J28*U28*W28,0) + IFERROR(VLOOKUP(F28,'Emission Factors &lt;HIDE&gt;'!$B$49:$C$170,2,0)*G28*T28,0) + IFERROR(VLOOKUP(I28,'Emission Factors &lt;HIDE&gt;'!$B$49:$C$170,2,0)*J28*V28,0))/'Definitions -AND- Conversions'!$C$40)</f>
        <v/>
      </c>
      <c r="AD28" s="642" t="str">
        <f>IF(AND(ISBLANK(N28),ISBLANK(P28)),"",(IFERROR(M28*VLOOKUP(N28,'Emission Factors &lt;HIDE&gt;'!$B$49:$C$170,2,0)*O28*X28*AB28,0) + IFERROR(VLOOKUP(P28,'Emission Factors &lt;HIDE&gt;'!$B$49:$C$170,2,0)*Q28*Z28*AB28,0) + IFERROR(M28*VLOOKUP(N28,'Emission Factors &lt;HIDE&gt;'!$B$49:$C$170,2,0)*O28*Y28,0) + IFERROR(VLOOKUP(P28,'Emission Factors &lt;HIDE&gt;'!$B$49:$C$170,2,0)*Q28*AA28,0))/'Definitions -AND- Conversions'!$C$40)</f>
        <v/>
      </c>
      <c r="AE28" s="634" t="str">
        <f>IF(AND(ISBLANK(F28),I28="",ISBLANK(N28),ISBLANK(P28)),"",(IFERROR(VLOOKUP(F28,'Emission Factors &lt;HIDE&gt;'!$B$49:$C$170,2,0)*G28*S28*W28,0) + IFERROR(VLOOKUP(I28,'Emission Factors &lt;HIDE&gt;'!$B$49:$C$170,2,0)*J28*U28*W28,0) - IFERROR(M28*VLOOKUP(N28,'Emission Factors &lt;HIDE&gt;'!$B$49:$C$170,2,0)*O28*X28*AB28,0) - IFERROR(VLOOKUP(P28,'Emission Factors &lt;HIDE&gt;'!$B$49:$C$170,2,0)*Q28*Z28*AB28,0))/'Definitions -AND- Conversions'!$C$40)</f>
        <v/>
      </c>
      <c r="AF28" s="634" t="str">
        <f>IF(AND(ISBLANK(F28),I28="",ISBLANK(N28),ISBLANK(P28)),"",(IFERROR(VLOOKUP(F28,'Emission Factors &lt;HIDE&gt;'!$B$49:$C$170,2,0)*G28*T28,0) + IFERROR(VLOOKUP(I28,'Emission Factors &lt;HIDE&gt;'!$B$49:$C$170,2,0)*J28*V28,0) - IFERROR(M28*VLOOKUP(N28,'Emission Factors &lt;HIDE&gt;'!$B$49:$C$170,2,0)*O28*Y28,0) - IFERROR(VLOOKUP(P28,'Emission Factors &lt;HIDE&gt;'!$B$49:$C$170,2,0)*Q28*AA28,0))/'Definitions -AND- Conversions'!$C$40)</f>
        <v/>
      </c>
      <c r="AG28" s="677"/>
      <c r="AH28" s="672" t="str">
        <f t="shared" si="5"/>
        <v/>
      </c>
      <c r="AI28" s="672" t="str">
        <f t="shared" si="6"/>
        <v/>
      </c>
      <c r="AJ28" s="672" t="str">
        <f t="shared" si="3"/>
        <v/>
      </c>
      <c r="AK28" s="683"/>
    </row>
    <row r="29" spans="1:37" ht="47.25" customHeight="1" x14ac:dyDescent="0.25">
      <c r="A29" s="20"/>
      <c r="B29" s="492">
        <v>8</v>
      </c>
      <c r="C29" s="616" t="str">
        <f t="shared" si="7"/>
        <v/>
      </c>
      <c r="D29" s="668" t="str">
        <f t="shared" si="4"/>
        <v/>
      </c>
      <c r="E29" s="651"/>
      <c r="F29" s="621"/>
      <c r="G29" s="712"/>
      <c r="H29" s="589"/>
      <c r="I29" s="642" t="str">
        <f>IF(D29='Defaults &lt;HIDE&gt;'!$H$12,'Emission Factors &lt;HIDE&gt;'!$B$103,"")</f>
        <v/>
      </c>
      <c r="J29" s="712"/>
      <c r="K29" s="718"/>
      <c r="L29" s="621"/>
      <c r="M29" s="206"/>
      <c r="N29" s="206"/>
      <c r="O29" s="712"/>
      <c r="P29" s="641"/>
      <c r="Q29" s="715"/>
      <c r="R29" s="690"/>
      <c r="S29" s="694" t="str">
        <f>IF(G29&gt;=2000,'Emission Factors &lt;HIDE&gt;'!$C$189,IF(G29&gt;=200,'Emission Factors &lt;HIDE&gt;'!$C$188,IF(G29&gt;=50,'Emission Factors &lt;HIDE&gt;'!$C$187,"")))</f>
        <v/>
      </c>
      <c r="T29" s="609" t="str">
        <f t="shared" si="0"/>
        <v/>
      </c>
      <c r="U29" s="609" t="str">
        <f t="shared" si="1"/>
        <v/>
      </c>
      <c r="V29" s="609" t="str">
        <f t="shared" si="2"/>
        <v/>
      </c>
      <c r="W29" s="695" t="str">
        <f>IF(AND(F29="",J29=""),"",IF(OR($C29='Defaults &lt;HIDE&gt;'!$B$12,$C29='Defaults &lt;HIDE&gt;'!$B$13,$C29='Defaults &lt;HIDE&gt;'!$B$14),15,IF(NOT($C29=""),10,"")))</f>
        <v/>
      </c>
      <c r="X29" s="694" t="str">
        <f>IF(O29="","",IF(L29='Defaults &lt;HIDE&gt;'!$D$14,'Emission Factors &lt;HIDE&gt;'!$C$190,IF(OR(L29='Defaults &lt;HIDE&gt;'!$D$15,L29='Defaults &lt;HIDE&gt;'!$D$16),'Emission Factors &lt;HIDE&gt;'!$C$191,IF(O29&gt;=2000,'Emission Factors &lt;HIDE&gt;'!$C$189,IF(O29&gt;=200,'Emission Factors &lt;HIDE&gt;'!$C$188,IF(O29&gt;50,'Emission Factors &lt;HIDE&gt;'!$C$187,'Emission Factors &lt;HIDE&gt;'!$C$186))))))</f>
        <v/>
      </c>
      <c r="Y29" s="609" t="str">
        <f>IF(L29="","",IF(OR(L29='Defaults &lt;HIDE&gt;'!$D$15,L29='Defaults &lt;HIDE&gt;'!$D$16),'Emission Factors &lt;HIDE&gt;'!$C$197,IF(O29&lt;=50,'Emission Factors &lt;HIDE&gt;'!$C$195,'Emission Factors &lt;HIDE&gt;'!$C$196)))</f>
        <v/>
      </c>
      <c r="Z29" s="609" t="str">
        <f>IF(Q29="","",IF(L29='Defaults &lt;HIDE&gt;'!$D$15,0,IF(Q29&gt;=2000,'Emission Factors &lt;HIDE&gt;'!$C$189,IF(Q29&gt;=200,'Emission Factors &lt;HIDE&gt;'!$C$188,IF(Q29&gt;=50,'Emission Factors &lt;HIDE&gt;'!$C$187,'Emission Factors &lt;HIDE&gt;'!$C$186)))))</f>
        <v/>
      </c>
      <c r="AA29" s="609" t="str">
        <f>IF(P29="","",IF(L29='Defaults &lt;HIDE&gt;'!$D$15,0,IF(Q29&lt;=50,'Emission Factors &lt;HIDE&gt;'!$C$195,'Emission Factors &lt;HIDE&gt;'!$C$196)))</f>
        <v/>
      </c>
      <c r="AB29" s="709" t="str">
        <f>IF(L29="","",IF(OR($C29='Defaults &lt;HIDE&gt;'!$B$12,$C29='Defaults &lt;HIDE&gt;'!$B$13,$C29='Defaults &lt;HIDE&gt;'!$B$14),15,IF(NOT($C29=""),10,"")))</f>
        <v/>
      </c>
      <c r="AC29" s="705" t="str">
        <f>IF(AND(ISBLANK(F29),J29=""),"",(IFERROR(VLOOKUP(F29,'Emission Factors &lt;HIDE&gt;'!$B$49:$C$170,2,0)*G29*S29*W29,0) + IFERROR(VLOOKUP(I29,'Emission Factors &lt;HIDE&gt;'!$B$49:$C$170,2,0)*J29*U29*W29,0) + IFERROR(VLOOKUP(F29,'Emission Factors &lt;HIDE&gt;'!$B$49:$C$170,2,0)*G29*T29,0) + IFERROR(VLOOKUP(I29,'Emission Factors &lt;HIDE&gt;'!$B$49:$C$170,2,0)*J29*V29,0))/'Definitions -AND- Conversions'!$C$40)</f>
        <v/>
      </c>
      <c r="AD29" s="642" t="str">
        <f>IF(AND(ISBLANK(N29),ISBLANK(P29)),"",(IFERROR(M29*VLOOKUP(N29,'Emission Factors &lt;HIDE&gt;'!$B$49:$C$170,2,0)*O29*X29*AB29,0) + IFERROR(VLOOKUP(P29,'Emission Factors &lt;HIDE&gt;'!$B$49:$C$170,2,0)*Q29*Z29*AB29,0) + IFERROR(M29*VLOOKUP(N29,'Emission Factors &lt;HIDE&gt;'!$B$49:$C$170,2,0)*O29*Y29,0) + IFERROR(VLOOKUP(P29,'Emission Factors &lt;HIDE&gt;'!$B$49:$C$170,2,0)*Q29*AA29,0))/'Definitions -AND- Conversions'!$C$40)</f>
        <v/>
      </c>
      <c r="AE29" s="634" t="str">
        <f>IF(AND(ISBLANK(F29),I29="",ISBLANK(N29),ISBLANK(P29)),"",(IFERROR(VLOOKUP(F29,'Emission Factors &lt;HIDE&gt;'!$B$49:$C$170,2,0)*G29*S29*W29,0) + IFERROR(VLOOKUP(I29,'Emission Factors &lt;HIDE&gt;'!$B$49:$C$170,2,0)*J29*U29*W29,0) - IFERROR(M29*VLOOKUP(N29,'Emission Factors &lt;HIDE&gt;'!$B$49:$C$170,2,0)*O29*X29*AB29,0) - IFERROR(VLOOKUP(P29,'Emission Factors &lt;HIDE&gt;'!$B$49:$C$170,2,0)*Q29*Z29*AB29,0))/'Definitions -AND- Conversions'!$C$40)</f>
        <v/>
      </c>
      <c r="AF29" s="634" t="str">
        <f>IF(AND(ISBLANK(F29),I29="",ISBLANK(N29),ISBLANK(P29)),"",(IFERROR(VLOOKUP(F29,'Emission Factors &lt;HIDE&gt;'!$B$49:$C$170,2,0)*G29*T29,0) + IFERROR(VLOOKUP(I29,'Emission Factors &lt;HIDE&gt;'!$B$49:$C$170,2,0)*J29*V29,0) - IFERROR(M29*VLOOKUP(N29,'Emission Factors &lt;HIDE&gt;'!$B$49:$C$170,2,0)*O29*Y29,0) - IFERROR(VLOOKUP(P29,'Emission Factors &lt;HIDE&gt;'!$B$49:$C$170,2,0)*Q29*AA29,0))/'Definitions -AND- Conversions'!$C$40)</f>
        <v/>
      </c>
      <c r="AG29" s="677"/>
      <c r="AH29" s="672" t="str">
        <f t="shared" si="5"/>
        <v/>
      </c>
      <c r="AI29" s="672" t="str">
        <f t="shared" si="6"/>
        <v/>
      </c>
      <c r="AJ29" s="672" t="str">
        <f t="shared" si="3"/>
        <v/>
      </c>
      <c r="AK29" s="683"/>
    </row>
    <row r="30" spans="1:37" ht="47.25" customHeight="1" x14ac:dyDescent="0.25">
      <c r="A30" s="20"/>
      <c r="B30" s="492">
        <v>9</v>
      </c>
      <c r="C30" s="616" t="str">
        <f t="shared" si="7"/>
        <v/>
      </c>
      <c r="D30" s="668" t="str">
        <f t="shared" si="4"/>
        <v/>
      </c>
      <c r="E30" s="651"/>
      <c r="F30" s="621"/>
      <c r="G30" s="712"/>
      <c r="H30" s="589"/>
      <c r="I30" s="642" t="str">
        <f>IF(D30='Defaults &lt;HIDE&gt;'!$H$12,'Emission Factors &lt;HIDE&gt;'!$B$103,"")</f>
        <v/>
      </c>
      <c r="J30" s="712"/>
      <c r="K30" s="718"/>
      <c r="L30" s="621"/>
      <c r="M30" s="206"/>
      <c r="N30" s="206"/>
      <c r="O30" s="712"/>
      <c r="P30" s="641"/>
      <c r="Q30" s="715"/>
      <c r="R30" s="690"/>
      <c r="S30" s="694" t="str">
        <f>IF(G30&gt;=2000,'Emission Factors &lt;HIDE&gt;'!$C$189,IF(G30&gt;=200,'Emission Factors &lt;HIDE&gt;'!$C$188,IF(G30&gt;=50,'Emission Factors &lt;HIDE&gt;'!$C$187,"")))</f>
        <v/>
      </c>
      <c r="T30" s="609" t="str">
        <f t="shared" si="0"/>
        <v/>
      </c>
      <c r="U30" s="609" t="str">
        <f t="shared" si="1"/>
        <v/>
      </c>
      <c r="V30" s="609" t="str">
        <f t="shared" si="2"/>
        <v/>
      </c>
      <c r="W30" s="695" t="str">
        <f>IF(AND(F30="",J30=""),"",IF(OR($C30='Defaults &lt;HIDE&gt;'!$B$12,$C30='Defaults &lt;HIDE&gt;'!$B$13,$C30='Defaults &lt;HIDE&gt;'!$B$14),15,IF(NOT($C30=""),10,"")))</f>
        <v/>
      </c>
      <c r="X30" s="694" t="str">
        <f>IF(O30="","",IF(L30='Defaults &lt;HIDE&gt;'!$D$14,'Emission Factors &lt;HIDE&gt;'!$C$190,IF(OR(L30='Defaults &lt;HIDE&gt;'!$D$15,L30='Defaults &lt;HIDE&gt;'!$D$16),'Emission Factors &lt;HIDE&gt;'!$C$191,IF(O30&gt;=2000,'Emission Factors &lt;HIDE&gt;'!$C$189,IF(O30&gt;=200,'Emission Factors &lt;HIDE&gt;'!$C$188,IF(O30&gt;50,'Emission Factors &lt;HIDE&gt;'!$C$187,'Emission Factors &lt;HIDE&gt;'!$C$186))))))</f>
        <v/>
      </c>
      <c r="Y30" s="609" t="str">
        <f>IF(L30="","",IF(OR(L30='Defaults &lt;HIDE&gt;'!$D$15,L30='Defaults &lt;HIDE&gt;'!$D$16),'Emission Factors &lt;HIDE&gt;'!$C$197,IF(O30&lt;=50,'Emission Factors &lt;HIDE&gt;'!$C$195,'Emission Factors &lt;HIDE&gt;'!$C$196)))</f>
        <v/>
      </c>
      <c r="Z30" s="609" t="str">
        <f>IF(Q30="","",IF(L30='Defaults &lt;HIDE&gt;'!$D$15,0,IF(Q30&gt;=2000,'Emission Factors &lt;HIDE&gt;'!$C$189,IF(Q30&gt;=200,'Emission Factors &lt;HIDE&gt;'!$C$188,IF(Q30&gt;=50,'Emission Factors &lt;HIDE&gt;'!$C$187,'Emission Factors &lt;HIDE&gt;'!$C$186)))))</f>
        <v/>
      </c>
      <c r="AA30" s="609" t="str">
        <f>IF(P30="","",IF(L30='Defaults &lt;HIDE&gt;'!$D$15,0,IF(Q30&lt;=50,'Emission Factors &lt;HIDE&gt;'!$C$195,'Emission Factors &lt;HIDE&gt;'!$C$196)))</f>
        <v/>
      </c>
      <c r="AB30" s="709" t="str">
        <f>IF(L30="","",IF(OR($C30='Defaults &lt;HIDE&gt;'!$B$12,$C30='Defaults &lt;HIDE&gt;'!$B$13,$C30='Defaults &lt;HIDE&gt;'!$B$14),15,IF(NOT($C30=""),10,"")))</f>
        <v/>
      </c>
      <c r="AC30" s="705" t="str">
        <f>IF(AND(ISBLANK(F30),J30=""),"",(IFERROR(VLOOKUP(F30,'Emission Factors &lt;HIDE&gt;'!$B$49:$C$170,2,0)*G30*S30*W30,0) + IFERROR(VLOOKUP(I30,'Emission Factors &lt;HIDE&gt;'!$B$49:$C$170,2,0)*J30*U30*W30,0) + IFERROR(VLOOKUP(F30,'Emission Factors &lt;HIDE&gt;'!$B$49:$C$170,2,0)*G30*T30,0) + IFERROR(VLOOKUP(I30,'Emission Factors &lt;HIDE&gt;'!$B$49:$C$170,2,0)*J30*V30,0))/'Definitions -AND- Conversions'!$C$40)</f>
        <v/>
      </c>
      <c r="AD30" s="642" t="str">
        <f>IF(AND(ISBLANK(N30),ISBLANK(P30)),"",(IFERROR(M30*VLOOKUP(N30,'Emission Factors &lt;HIDE&gt;'!$B$49:$C$170,2,0)*O30*X30*AB30,0) + IFERROR(VLOOKUP(P30,'Emission Factors &lt;HIDE&gt;'!$B$49:$C$170,2,0)*Q30*Z30*AB30,0) + IFERROR(M30*VLOOKUP(N30,'Emission Factors &lt;HIDE&gt;'!$B$49:$C$170,2,0)*O30*Y30,0) + IFERROR(VLOOKUP(P30,'Emission Factors &lt;HIDE&gt;'!$B$49:$C$170,2,0)*Q30*AA30,0))/'Definitions -AND- Conversions'!$C$40)</f>
        <v/>
      </c>
      <c r="AE30" s="634" t="str">
        <f>IF(AND(ISBLANK(F30),I30="",ISBLANK(N30),ISBLANK(P30)),"",(IFERROR(VLOOKUP(F30,'Emission Factors &lt;HIDE&gt;'!$B$49:$C$170,2,0)*G30*S30*W30,0) + IFERROR(VLOOKUP(I30,'Emission Factors &lt;HIDE&gt;'!$B$49:$C$170,2,0)*J30*U30*W30,0) - IFERROR(M30*VLOOKUP(N30,'Emission Factors &lt;HIDE&gt;'!$B$49:$C$170,2,0)*O30*X30*AB30,0) - IFERROR(VLOOKUP(P30,'Emission Factors &lt;HIDE&gt;'!$B$49:$C$170,2,0)*Q30*Z30*AB30,0))/'Definitions -AND- Conversions'!$C$40)</f>
        <v/>
      </c>
      <c r="AF30" s="634" t="str">
        <f>IF(AND(ISBLANK(F30),I30="",ISBLANK(N30),ISBLANK(P30)),"",(IFERROR(VLOOKUP(F30,'Emission Factors &lt;HIDE&gt;'!$B$49:$C$170,2,0)*G30*T30,0) + IFERROR(VLOOKUP(I30,'Emission Factors &lt;HIDE&gt;'!$B$49:$C$170,2,0)*J30*V30,0) - IFERROR(M30*VLOOKUP(N30,'Emission Factors &lt;HIDE&gt;'!$B$49:$C$170,2,0)*O30*Y30,0) - IFERROR(VLOOKUP(P30,'Emission Factors &lt;HIDE&gt;'!$B$49:$C$170,2,0)*Q30*AA30,0))/'Definitions -AND- Conversions'!$C$40)</f>
        <v/>
      </c>
      <c r="AG30" s="677"/>
      <c r="AH30" s="672" t="str">
        <f t="shared" si="5"/>
        <v/>
      </c>
      <c r="AI30" s="672" t="str">
        <f t="shared" si="6"/>
        <v/>
      </c>
      <c r="AJ30" s="672" t="str">
        <f t="shared" si="3"/>
        <v/>
      </c>
      <c r="AK30" s="683"/>
    </row>
    <row r="31" spans="1:37" ht="47.25" customHeight="1" x14ac:dyDescent="0.25">
      <c r="A31" s="20"/>
      <c r="B31" s="492">
        <v>10</v>
      </c>
      <c r="C31" s="616" t="str">
        <f t="shared" si="7"/>
        <v/>
      </c>
      <c r="D31" s="668" t="str">
        <f t="shared" si="4"/>
        <v/>
      </c>
      <c r="E31" s="651"/>
      <c r="F31" s="621"/>
      <c r="G31" s="712"/>
      <c r="H31" s="589"/>
      <c r="I31" s="642" t="str">
        <f>IF(D31='Defaults &lt;HIDE&gt;'!$H$12,'Emission Factors &lt;HIDE&gt;'!$B$103,"")</f>
        <v/>
      </c>
      <c r="J31" s="712"/>
      <c r="K31" s="718"/>
      <c r="L31" s="621"/>
      <c r="M31" s="206"/>
      <c r="N31" s="206"/>
      <c r="O31" s="712"/>
      <c r="P31" s="641"/>
      <c r="Q31" s="715"/>
      <c r="R31" s="690"/>
      <c r="S31" s="694" t="str">
        <f>IF(G31&gt;=2000,'Emission Factors &lt;HIDE&gt;'!$C$189,IF(G31&gt;=200,'Emission Factors &lt;HIDE&gt;'!$C$188,IF(G31&gt;=50,'Emission Factors &lt;HIDE&gt;'!$C$187,"")))</f>
        <v/>
      </c>
      <c r="T31" s="609" t="str">
        <f t="shared" si="0"/>
        <v/>
      </c>
      <c r="U31" s="609" t="str">
        <f t="shared" si="1"/>
        <v/>
      </c>
      <c r="V31" s="609" t="str">
        <f t="shared" si="2"/>
        <v/>
      </c>
      <c r="W31" s="695" t="str">
        <f>IF(AND(F31="",J31=""),"",IF(OR($C31='Defaults &lt;HIDE&gt;'!$B$12,$C31='Defaults &lt;HIDE&gt;'!$B$13,$C31='Defaults &lt;HIDE&gt;'!$B$14),15,IF(NOT($C31=""),10,"")))</f>
        <v/>
      </c>
      <c r="X31" s="694" t="str">
        <f>IF(O31="","",IF(L31='Defaults &lt;HIDE&gt;'!$D$14,'Emission Factors &lt;HIDE&gt;'!$C$190,IF(OR(L31='Defaults &lt;HIDE&gt;'!$D$15,L31='Defaults &lt;HIDE&gt;'!$D$16),'Emission Factors &lt;HIDE&gt;'!$C$191,IF(O31&gt;=2000,'Emission Factors &lt;HIDE&gt;'!$C$189,IF(O31&gt;=200,'Emission Factors &lt;HIDE&gt;'!$C$188,IF(O31&gt;50,'Emission Factors &lt;HIDE&gt;'!$C$187,'Emission Factors &lt;HIDE&gt;'!$C$186))))))</f>
        <v/>
      </c>
      <c r="Y31" s="609" t="str">
        <f>IF(L31="","",IF(OR(L31='Defaults &lt;HIDE&gt;'!$D$15,L31='Defaults &lt;HIDE&gt;'!$D$16),'Emission Factors &lt;HIDE&gt;'!$C$197,IF(O31&lt;=50,'Emission Factors &lt;HIDE&gt;'!$C$195,'Emission Factors &lt;HIDE&gt;'!$C$196)))</f>
        <v/>
      </c>
      <c r="Z31" s="609" t="str">
        <f>IF(Q31="","",IF(L31='Defaults &lt;HIDE&gt;'!$D$15,0,IF(Q31&gt;=2000,'Emission Factors &lt;HIDE&gt;'!$C$189,IF(Q31&gt;=200,'Emission Factors &lt;HIDE&gt;'!$C$188,IF(Q31&gt;=50,'Emission Factors &lt;HIDE&gt;'!$C$187,'Emission Factors &lt;HIDE&gt;'!$C$186)))))</f>
        <v/>
      </c>
      <c r="AA31" s="609" t="str">
        <f>IF(P31="","",IF(L31='Defaults &lt;HIDE&gt;'!$D$15,0,IF(Q31&lt;=50,'Emission Factors &lt;HIDE&gt;'!$C$195,'Emission Factors &lt;HIDE&gt;'!$C$196)))</f>
        <v/>
      </c>
      <c r="AB31" s="709" t="str">
        <f>IF(L31="","",IF(OR($C31='Defaults &lt;HIDE&gt;'!$B$12,$C31='Defaults &lt;HIDE&gt;'!$B$13,$C31='Defaults &lt;HIDE&gt;'!$B$14),15,IF(NOT($C31=""),10,"")))</f>
        <v/>
      </c>
      <c r="AC31" s="705" t="str">
        <f>IF(AND(ISBLANK(F31),J31=""),"",(IFERROR(VLOOKUP(F31,'Emission Factors &lt;HIDE&gt;'!$B$49:$C$170,2,0)*G31*S31*W31,0) + IFERROR(VLOOKUP(I31,'Emission Factors &lt;HIDE&gt;'!$B$49:$C$170,2,0)*J31*U31*W31,0) + IFERROR(VLOOKUP(F31,'Emission Factors &lt;HIDE&gt;'!$B$49:$C$170,2,0)*G31*T31,0) + IFERROR(VLOOKUP(I31,'Emission Factors &lt;HIDE&gt;'!$B$49:$C$170,2,0)*J31*V31,0))/'Definitions -AND- Conversions'!$C$40)</f>
        <v/>
      </c>
      <c r="AD31" s="642" t="str">
        <f>IF(AND(ISBLANK(N31),ISBLANK(P31)),"",(IFERROR(M31*VLOOKUP(N31,'Emission Factors &lt;HIDE&gt;'!$B$49:$C$170,2,0)*O31*X31*AB31,0) + IFERROR(VLOOKUP(P31,'Emission Factors &lt;HIDE&gt;'!$B$49:$C$170,2,0)*Q31*Z31*AB31,0) + IFERROR(M31*VLOOKUP(N31,'Emission Factors &lt;HIDE&gt;'!$B$49:$C$170,2,0)*O31*Y31,0) + IFERROR(VLOOKUP(P31,'Emission Factors &lt;HIDE&gt;'!$B$49:$C$170,2,0)*Q31*AA31,0))/'Definitions -AND- Conversions'!$C$40)</f>
        <v/>
      </c>
      <c r="AE31" s="634" t="str">
        <f>IF(AND(ISBLANK(F31),I31="",ISBLANK(N31),ISBLANK(P31)),"",(IFERROR(VLOOKUP(F31,'Emission Factors &lt;HIDE&gt;'!$B$49:$C$170,2,0)*G31*S31*W31,0) + IFERROR(VLOOKUP(I31,'Emission Factors &lt;HIDE&gt;'!$B$49:$C$170,2,0)*J31*U31*W31,0) - IFERROR(M31*VLOOKUP(N31,'Emission Factors &lt;HIDE&gt;'!$B$49:$C$170,2,0)*O31*X31*AB31,0) - IFERROR(VLOOKUP(P31,'Emission Factors &lt;HIDE&gt;'!$B$49:$C$170,2,0)*Q31*Z31*AB31,0))/'Definitions -AND- Conversions'!$C$40)</f>
        <v/>
      </c>
      <c r="AF31" s="634" t="str">
        <f>IF(AND(ISBLANK(F31),I31="",ISBLANK(N31),ISBLANK(P31)),"",(IFERROR(VLOOKUP(F31,'Emission Factors &lt;HIDE&gt;'!$B$49:$C$170,2,0)*G31*T31,0) + IFERROR(VLOOKUP(I31,'Emission Factors &lt;HIDE&gt;'!$B$49:$C$170,2,0)*J31*V31,0) - IFERROR(M31*VLOOKUP(N31,'Emission Factors &lt;HIDE&gt;'!$B$49:$C$170,2,0)*O31*Y31,0) - IFERROR(VLOOKUP(P31,'Emission Factors &lt;HIDE&gt;'!$B$49:$C$170,2,0)*Q31*AA31,0))/'Definitions -AND- Conversions'!$C$40)</f>
        <v/>
      </c>
      <c r="AG31" s="677"/>
      <c r="AH31" s="672" t="str">
        <f t="shared" si="5"/>
        <v/>
      </c>
      <c r="AI31" s="672" t="str">
        <f t="shared" si="6"/>
        <v/>
      </c>
      <c r="AJ31" s="672" t="str">
        <f t="shared" si="3"/>
        <v/>
      </c>
      <c r="AK31" s="683"/>
    </row>
    <row r="32" spans="1:37" ht="47.25" customHeight="1" x14ac:dyDescent="0.25">
      <c r="A32" s="20"/>
      <c r="B32" s="492">
        <v>11</v>
      </c>
      <c r="C32" s="616" t="str">
        <f t="shared" si="7"/>
        <v/>
      </c>
      <c r="D32" s="668" t="str">
        <f t="shared" si="4"/>
        <v/>
      </c>
      <c r="E32" s="651"/>
      <c r="F32" s="621"/>
      <c r="G32" s="712"/>
      <c r="H32" s="589"/>
      <c r="I32" s="642" t="str">
        <f>IF(D32='Defaults &lt;HIDE&gt;'!$H$12,'Emission Factors &lt;HIDE&gt;'!$B$103,"")</f>
        <v/>
      </c>
      <c r="J32" s="712"/>
      <c r="K32" s="718"/>
      <c r="L32" s="621"/>
      <c r="M32" s="206"/>
      <c r="N32" s="206"/>
      <c r="O32" s="712"/>
      <c r="P32" s="641"/>
      <c r="Q32" s="715"/>
      <c r="R32" s="690"/>
      <c r="S32" s="694" t="str">
        <f>IF(G32&gt;=2000,'Emission Factors &lt;HIDE&gt;'!$C$189,IF(G32&gt;=200,'Emission Factors &lt;HIDE&gt;'!$C$188,IF(G32&gt;=50,'Emission Factors &lt;HIDE&gt;'!$C$187,"")))</f>
        <v/>
      </c>
      <c r="T32" s="609" t="str">
        <f t="shared" si="0"/>
        <v/>
      </c>
      <c r="U32" s="609" t="str">
        <f t="shared" si="1"/>
        <v/>
      </c>
      <c r="V32" s="609" t="str">
        <f t="shared" si="2"/>
        <v/>
      </c>
      <c r="W32" s="695" t="str">
        <f>IF(AND(F32="",J32=""),"",IF(OR($C32='Defaults &lt;HIDE&gt;'!$B$12,$C32='Defaults &lt;HIDE&gt;'!$B$13,$C32='Defaults &lt;HIDE&gt;'!$B$14),15,IF(NOT($C32=""),10,"")))</f>
        <v/>
      </c>
      <c r="X32" s="694" t="str">
        <f>IF(O32="","",IF(L32='Defaults &lt;HIDE&gt;'!$D$14,'Emission Factors &lt;HIDE&gt;'!$C$190,IF(OR(L32='Defaults &lt;HIDE&gt;'!$D$15,L32='Defaults &lt;HIDE&gt;'!$D$16),'Emission Factors &lt;HIDE&gt;'!$C$191,IF(O32&gt;=2000,'Emission Factors &lt;HIDE&gt;'!$C$189,IF(O32&gt;=200,'Emission Factors &lt;HIDE&gt;'!$C$188,IF(O32&gt;50,'Emission Factors &lt;HIDE&gt;'!$C$187,'Emission Factors &lt;HIDE&gt;'!$C$186))))))</f>
        <v/>
      </c>
      <c r="Y32" s="609" t="str">
        <f>IF(L32="","",IF(OR(L32='Defaults &lt;HIDE&gt;'!$D$15,L32='Defaults &lt;HIDE&gt;'!$D$16),'Emission Factors &lt;HIDE&gt;'!$C$197,IF(O32&lt;=50,'Emission Factors &lt;HIDE&gt;'!$C$195,'Emission Factors &lt;HIDE&gt;'!$C$196)))</f>
        <v/>
      </c>
      <c r="Z32" s="609" t="str">
        <f>IF(Q32="","",IF(L32='Defaults &lt;HIDE&gt;'!$D$15,0,IF(Q32&gt;=2000,'Emission Factors &lt;HIDE&gt;'!$C$189,IF(Q32&gt;=200,'Emission Factors &lt;HIDE&gt;'!$C$188,IF(Q32&gt;=50,'Emission Factors &lt;HIDE&gt;'!$C$187,'Emission Factors &lt;HIDE&gt;'!$C$186)))))</f>
        <v/>
      </c>
      <c r="AA32" s="609" t="str">
        <f>IF(P32="","",IF(L32='Defaults &lt;HIDE&gt;'!$D$15,0,IF(Q32&lt;=50,'Emission Factors &lt;HIDE&gt;'!$C$195,'Emission Factors &lt;HIDE&gt;'!$C$196)))</f>
        <v/>
      </c>
      <c r="AB32" s="709" t="str">
        <f>IF(L32="","",IF(OR($C32='Defaults &lt;HIDE&gt;'!$B$12,$C32='Defaults &lt;HIDE&gt;'!$B$13,$C32='Defaults &lt;HIDE&gt;'!$B$14),15,IF(NOT($C32=""),10,"")))</f>
        <v/>
      </c>
      <c r="AC32" s="705" t="str">
        <f>IF(AND(ISBLANK(F32),J32=""),"",(IFERROR(VLOOKUP(F32,'Emission Factors &lt;HIDE&gt;'!$B$49:$C$170,2,0)*G32*S32*W32,0) + IFERROR(VLOOKUP(I32,'Emission Factors &lt;HIDE&gt;'!$B$49:$C$170,2,0)*J32*U32*W32,0) + IFERROR(VLOOKUP(F32,'Emission Factors &lt;HIDE&gt;'!$B$49:$C$170,2,0)*G32*T32,0) + IFERROR(VLOOKUP(I32,'Emission Factors &lt;HIDE&gt;'!$B$49:$C$170,2,0)*J32*V32,0))/'Definitions -AND- Conversions'!$C$40)</f>
        <v/>
      </c>
      <c r="AD32" s="642" t="str">
        <f>IF(AND(ISBLANK(N32),ISBLANK(P32)),"",(IFERROR(M32*VLOOKUP(N32,'Emission Factors &lt;HIDE&gt;'!$B$49:$C$170,2,0)*O32*X32*AB32,0) + IFERROR(VLOOKUP(P32,'Emission Factors &lt;HIDE&gt;'!$B$49:$C$170,2,0)*Q32*Z32*AB32,0) + IFERROR(M32*VLOOKUP(N32,'Emission Factors &lt;HIDE&gt;'!$B$49:$C$170,2,0)*O32*Y32,0) + IFERROR(VLOOKUP(P32,'Emission Factors &lt;HIDE&gt;'!$B$49:$C$170,2,0)*Q32*AA32,0))/'Definitions -AND- Conversions'!$C$40)</f>
        <v/>
      </c>
      <c r="AE32" s="634" t="str">
        <f>IF(AND(ISBLANK(F32),I32="",ISBLANK(N32),ISBLANK(P32)),"",(IFERROR(VLOOKUP(F32,'Emission Factors &lt;HIDE&gt;'!$B$49:$C$170,2,0)*G32*S32*W32,0) + IFERROR(VLOOKUP(I32,'Emission Factors &lt;HIDE&gt;'!$B$49:$C$170,2,0)*J32*U32*W32,0) - IFERROR(M32*VLOOKUP(N32,'Emission Factors &lt;HIDE&gt;'!$B$49:$C$170,2,0)*O32*X32*AB32,0) - IFERROR(VLOOKUP(P32,'Emission Factors &lt;HIDE&gt;'!$B$49:$C$170,2,0)*Q32*Z32*AB32,0))/'Definitions -AND- Conversions'!$C$40)</f>
        <v/>
      </c>
      <c r="AF32" s="634" t="str">
        <f>IF(AND(ISBLANK(F32),I32="",ISBLANK(N32),ISBLANK(P32)),"",(IFERROR(VLOOKUP(F32,'Emission Factors &lt;HIDE&gt;'!$B$49:$C$170,2,0)*G32*T32,0) + IFERROR(VLOOKUP(I32,'Emission Factors &lt;HIDE&gt;'!$B$49:$C$170,2,0)*J32*V32,0) - IFERROR(M32*VLOOKUP(N32,'Emission Factors &lt;HIDE&gt;'!$B$49:$C$170,2,0)*O32*Y32,0) - IFERROR(VLOOKUP(P32,'Emission Factors &lt;HIDE&gt;'!$B$49:$C$170,2,0)*Q32*AA32,0))/'Definitions -AND- Conversions'!$C$40)</f>
        <v/>
      </c>
      <c r="AG32" s="677"/>
      <c r="AH32" s="672" t="str">
        <f t="shared" si="5"/>
        <v/>
      </c>
      <c r="AI32" s="672" t="str">
        <f t="shared" si="6"/>
        <v/>
      </c>
      <c r="AJ32" s="672" t="str">
        <f t="shared" si="3"/>
        <v/>
      </c>
      <c r="AK32" s="683"/>
    </row>
    <row r="33" spans="1:37" ht="47.25" customHeight="1" x14ac:dyDescent="0.25">
      <c r="A33" s="20"/>
      <c r="B33" s="492">
        <v>12</v>
      </c>
      <c r="C33" s="616" t="str">
        <f t="shared" si="7"/>
        <v/>
      </c>
      <c r="D33" s="668" t="str">
        <f t="shared" si="4"/>
        <v/>
      </c>
      <c r="E33" s="651"/>
      <c r="F33" s="621"/>
      <c r="G33" s="712"/>
      <c r="H33" s="589"/>
      <c r="I33" s="642" t="str">
        <f>IF(D33='Defaults &lt;HIDE&gt;'!$H$12,'Emission Factors &lt;HIDE&gt;'!$B$103,"")</f>
        <v/>
      </c>
      <c r="J33" s="712"/>
      <c r="K33" s="718"/>
      <c r="L33" s="621"/>
      <c r="M33" s="206"/>
      <c r="N33" s="206"/>
      <c r="O33" s="712"/>
      <c r="P33" s="641"/>
      <c r="Q33" s="715"/>
      <c r="R33" s="690"/>
      <c r="S33" s="694" t="str">
        <f>IF(G33&gt;=2000,'Emission Factors &lt;HIDE&gt;'!$C$189,IF(G33&gt;=200,'Emission Factors &lt;HIDE&gt;'!$C$188,IF(G33&gt;=50,'Emission Factors &lt;HIDE&gt;'!$C$187,"")))</f>
        <v/>
      </c>
      <c r="T33" s="609" t="str">
        <f t="shared" si="0"/>
        <v/>
      </c>
      <c r="U33" s="609" t="str">
        <f t="shared" si="1"/>
        <v/>
      </c>
      <c r="V33" s="609" t="str">
        <f t="shared" si="2"/>
        <v/>
      </c>
      <c r="W33" s="695" t="str">
        <f>IF(AND(F33="",J33=""),"",IF(OR($C33='Defaults &lt;HIDE&gt;'!$B$12,$C33='Defaults &lt;HIDE&gt;'!$B$13,$C33='Defaults &lt;HIDE&gt;'!$B$14),15,IF(NOT($C33=""),10,"")))</f>
        <v/>
      </c>
      <c r="X33" s="694" t="str">
        <f>IF(O33="","",IF(L33='Defaults &lt;HIDE&gt;'!$D$14,'Emission Factors &lt;HIDE&gt;'!$C$190,IF(OR(L33='Defaults &lt;HIDE&gt;'!$D$15,L33='Defaults &lt;HIDE&gt;'!$D$16),'Emission Factors &lt;HIDE&gt;'!$C$191,IF(O33&gt;=2000,'Emission Factors &lt;HIDE&gt;'!$C$189,IF(O33&gt;=200,'Emission Factors &lt;HIDE&gt;'!$C$188,IF(O33&gt;50,'Emission Factors &lt;HIDE&gt;'!$C$187,'Emission Factors &lt;HIDE&gt;'!$C$186))))))</f>
        <v/>
      </c>
      <c r="Y33" s="609" t="str">
        <f>IF(L33="","",IF(OR(L33='Defaults &lt;HIDE&gt;'!$D$15,L33='Defaults &lt;HIDE&gt;'!$D$16),'Emission Factors &lt;HIDE&gt;'!$C$197,IF(O33&lt;=50,'Emission Factors &lt;HIDE&gt;'!$C$195,'Emission Factors &lt;HIDE&gt;'!$C$196)))</f>
        <v/>
      </c>
      <c r="Z33" s="609" t="str">
        <f>IF(Q33="","",IF(L33='Defaults &lt;HIDE&gt;'!$D$15,0,IF(Q33&gt;=2000,'Emission Factors &lt;HIDE&gt;'!$C$189,IF(Q33&gt;=200,'Emission Factors &lt;HIDE&gt;'!$C$188,IF(Q33&gt;=50,'Emission Factors &lt;HIDE&gt;'!$C$187,'Emission Factors &lt;HIDE&gt;'!$C$186)))))</f>
        <v/>
      </c>
      <c r="AA33" s="609" t="str">
        <f>IF(P33="","",IF(L33='Defaults &lt;HIDE&gt;'!$D$15,0,IF(Q33&lt;=50,'Emission Factors &lt;HIDE&gt;'!$C$195,'Emission Factors &lt;HIDE&gt;'!$C$196)))</f>
        <v/>
      </c>
      <c r="AB33" s="709" t="str">
        <f>IF(L33="","",IF(OR($C33='Defaults &lt;HIDE&gt;'!$B$12,$C33='Defaults &lt;HIDE&gt;'!$B$13,$C33='Defaults &lt;HIDE&gt;'!$B$14),15,IF(NOT($C33=""),10,"")))</f>
        <v/>
      </c>
      <c r="AC33" s="705" t="str">
        <f>IF(AND(ISBLANK(F33),J33=""),"",(IFERROR(VLOOKUP(F33,'Emission Factors &lt;HIDE&gt;'!$B$49:$C$170,2,0)*G33*S33*W33,0) + IFERROR(VLOOKUP(I33,'Emission Factors &lt;HIDE&gt;'!$B$49:$C$170,2,0)*J33*U33*W33,0) + IFERROR(VLOOKUP(F33,'Emission Factors &lt;HIDE&gt;'!$B$49:$C$170,2,0)*G33*T33,0) + IFERROR(VLOOKUP(I33,'Emission Factors &lt;HIDE&gt;'!$B$49:$C$170,2,0)*J33*V33,0))/'Definitions -AND- Conversions'!$C$40)</f>
        <v/>
      </c>
      <c r="AD33" s="642" t="str">
        <f>IF(AND(ISBLANK(N33),ISBLANK(P33)),"",(IFERROR(M33*VLOOKUP(N33,'Emission Factors &lt;HIDE&gt;'!$B$49:$C$170,2,0)*O33*X33*AB33,0) + IFERROR(VLOOKUP(P33,'Emission Factors &lt;HIDE&gt;'!$B$49:$C$170,2,0)*Q33*Z33*AB33,0) + IFERROR(M33*VLOOKUP(N33,'Emission Factors &lt;HIDE&gt;'!$B$49:$C$170,2,0)*O33*Y33,0) + IFERROR(VLOOKUP(P33,'Emission Factors &lt;HIDE&gt;'!$B$49:$C$170,2,0)*Q33*AA33,0))/'Definitions -AND- Conversions'!$C$40)</f>
        <v/>
      </c>
      <c r="AE33" s="634" t="str">
        <f>IF(AND(ISBLANK(F33),I33="",ISBLANK(N33),ISBLANK(P33)),"",(IFERROR(VLOOKUP(F33,'Emission Factors &lt;HIDE&gt;'!$B$49:$C$170,2,0)*G33*S33*W33,0) + IFERROR(VLOOKUP(I33,'Emission Factors &lt;HIDE&gt;'!$B$49:$C$170,2,0)*J33*U33*W33,0) - IFERROR(M33*VLOOKUP(N33,'Emission Factors &lt;HIDE&gt;'!$B$49:$C$170,2,0)*O33*X33*AB33,0) - IFERROR(VLOOKUP(P33,'Emission Factors &lt;HIDE&gt;'!$B$49:$C$170,2,0)*Q33*Z33*AB33,0))/'Definitions -AND- Conversions'!$C$40)</f>
        <v/>
      </c>
      <c r="AF33" s="634" t="str">
        <f>IF(AND(ISBLANK(F33),I33="",ISBLANK(N33),ISBLANK(P33)),"",(IFERROR(VLOOKUP(F33,'Emission Factors &lt;HIDE&gt;'!$B$49:$C$170,2,0)*G33*T33,0) + IFERROR(VLOOKUP(I33,'Emission Factors &lt;HIDE&gt;'!$B$49:$C$170,2,0)*J33*V33,0) - IFERROR(M33*VLOOKUP(N33,'Emission Factors &lt;HIDE&gt;'!$B$49:$C$170,2,0)*O33*Y33,0) - IFERROR(VLOOKUP(P33,'Emission Factors &lt;HIDE&gt;'!$B$49:$C$170,2,0)*Q33*AA33,0))/'Definitions -AND- Conversions'!$C$40)</f>
        <v/>
      </c>
      <c r="AG33" s="677"/>
      <c r="AH33" s="672" t="str">
        <f t="shared" si="5"/>
        <v/>
      </c>
      <c r="AI33" s="672" t="str">
        <f t="shared" si="6"/>
        <v/>
      </c>
      <c r="AJ33" s="672" t="str">
        <f t="shared" si="3"/>
        <v/>
      </c>
      <c r="AK33" s="683"/>
    </row>
    <row r="34" spans="1:37" ht="47.25" customHeight="1" x14ac:dyDescent="0.25">
      <c r="A34" s="20"/>
      <c r="B34" s="492">
        <v>13</v>
      </c>
      <c r="C34" s="616" t="str">
        <f t="shared" si="7"/>
        <v/>
      </c>
      <c r="D34" s="668" t="str">
        <f t="shared" si="4"/>
        <v/>
      </c>
      <c r="E34" s="651"/>
      <c r="F34" s="621"/>
      <c r="G34" s="712"/>
      <c r="H34" s="589"/>
      <c r="I34" s="642" t="str">
        <f>IF(D34='Defaults &lt;HIDE&gt;'!$H$12,'Emission Factors &lt;HIDE&gt;'!$B$103,"")</f>
        <v/>
      </c>
      <c r="J34" s="712"/>
      <c r="K34" s="718"/>
      <c r="L34" s="621"/>
      <c r="M34" s="206"/>
      <c r="N34" s="206"/>
      <c r="O34" s="712"/>
      <c r="P34" s="641"/>
      <c r="Q34" s="715"/>
      <c r="R34" s="690"/>
      <c r="S34" s="694" t="str">
        <f>IF(G34&gt;=2000,'Emission Factors &lt;HIDE&gt;'!$C$189,IF(G34&gt;=200,'Emission Factors &lt;HIDE&gt;'!$C$188,IF(G34&gt;=50,'Emission Factors &lt;HIDE&gt;'!$C$187,"")))</f>
        <v/>
      </c>
      <c r="T34" s="609" t="str">
        <f t="shared" si="0"/>
        <v/>
      </c>
      <c r="U34" s="609" t="str">
        <f t="shared" si="1"/>
        <v/>
      </c>
      <c r="V34" s="609" t="str">
        <f t="shared" si="2"/>
        <v/>
      </c>
      <c r="W34" s="695" t="str">
        <f>IF(AND(F34="",J34=""),"",IF(OR($C34='Defaults &lt;HIDE&gt;'!$B$12,$C34='Defaults &lt;HIDE&gt;'!$B$13,$C34='Defaults &lt;HIDE&gt;'!$B$14),15,IF(NOT($C34=""),10,"")))</f>
        <v/>
      </c>
      <c r="X34" s="694" t="str">
        <f>IF(O34="","",IF(L34='Defaults &lt;HIDE&gt;'!$D$14,'Emission Factors &lt;HIDE&gt;'!$C$190,IF(OR(L34='Defaults &lt;HIDE&gt;'!$D$15,L34='Defaults &lt;HIDE&gt;'!$D$16),'Emission Factors &lt;HIDE&gt;'!$C$191,IF(O34&gt;=2000,'Emission Factors &lt;HIDE&gt;'!$C$189,IF(O34&gt;=200,'Emission Factors &lt;HIDE&gt;'!$C$188,IF(O34&gt;50,'Emission Factors &lt;HIDE&gt;'!$C$187,'Emission Factors &lt;HIDE&gt;'!$C$186))))))</f>
        <v/>
      </c>
      <c r="Y34" s="609" t="str">
        <f>IF(L34="","",IF(OR(L34='Defaults &lt;HIDE&gt;'!$D$15,L34='Defaults &lt;HIDE&gt;'!$D$16),'Emission Factors &lt;HIDE&gt;'!$C$197,IF(O34&lt;=50,'Emission Factors &lt;HIDE&gt;'!$C$195,'Emission Factors &lt;HIDE&gt;'!$C$196)))</f>
        <v/>
      </c>
      <c r="Z34" s="609" t="str">
        <f>IF(Q34="","",IF(L34='Defaults &lt;HIDE&gt;'!$D$15,0,IF(Q34&gt;=2000,'Emission Factors &lt;HIDE&gt;'!$C$189,IF(Q34&gt;=200,'Emission Factors &lt;HIDE&gt;'!$C$188,IF(Q34&gt;=50,'Emission Factors &lt;HIDE&gt;'!$C$187,'Emission Factors &lt;HIDE&gt;'!$C$186)))))</f>
        <v/>
      </c>
      <c r="AA34" s="609" t="str">
        <f>IF(P34="","",IF(L34='Defaults &lt;HIDE&gt;'!$D$15,0,IF(Q34&lt;=50,'Emission Factors &lt;HIDE&gt;'!$C$195,'Emission Factors &lt;HIDE&gt;'!$C$196)))</f>
        <v/>
      </c>
      <c r="AB34" s="709" t="str">
        <f>IF(L34="","",IF(OR($C34='Defaults &lt;HIDE&gt;'!$B$12,$C34='Defaults &lt;HIDE&gt;'!$B$13,$C34='Defaults &lt;HIDE&gt;'!$B$14),15,IF(NOT($C34=""),10,"")))</f>
        <v/>
      </c>
      <c r="AC34" s="705" t="str">
        <f>IF(AND(ISBLANK(F34),J34=""),"",(IFERROR(VLOOKUP(F34,'Emission Factors &lt;HIDE&gt;'!$B$49:$C$170,2,0)*G34*S34*W34,0) + IFERROR(VLOOKUP(I34,'Emission Factors &lt;HIDE&gt;'!$B$49:$C$170,2,0)*J34*U34*W34,0) + IFERROR(VLOOKUP(F34,'Emission Factors &lt;HIDE&gt;'!$B$49:$C$170,2,0)*G34*T34,0) + IFERROR(VLOOKUP(I34,'Emission Factors &lt;HIDE&gt;'!$B$49:$C$170,2,0)*J34*V34,0))/'Definitions -AND- Conversions'!$C$40)</f>
        <v/>
      </c>
      <c r="AD34" s="642" t="str">
        <f>IF(AND(ISBLANK(N34),ISBLANK(P34)),"",(IFERROR(M34*VLOOKUP(N34,'Emission Factors &lt;HIDE&gt;'!$B$49:$C$170,2,0)*O34*X34*AB34,0) + IFERROR(VLOOKUP(P34,'Emission Factors &lt;HIDE&gt;'!$B$49:$C$170,2,0)*Q34*Z34*AB34,0) + IFERROR(M34*VLOOKUP(N34,'Emission Factors &lt;HIDE&gt;'!$B$49:$C$170,2,0)*O34*Y34,0) + IFERROR(VLOOKUP(P34,'Emission Factors &lt;HIDE&gt;'!$B$49:$C$170,2,0)*Q34*AA34,0))/'Definitions -AND- Conversions'!$C$40)</f>
        <v/>
      </c>
      <c r="AE34" s="634" t="str">
        <f>IF(AND(ISBLANK(F34),I34="",ISBLANK(N34),ISBLANK(P34)),"",(IFERROR(VLOOKUP(F34,'Emission Factors &lt;HIDE&gt;'!$B$49:$C$170,2,0)*G34*S34*W34,0) + IFERROR(VLOOKUP(I34,'Emission Factors &lt;HIDE&gt;'!$B$49:$C$170,2,0)*J34*U34*W34,0) - IFERROR(M34*VLOOKUP(N34,'Emission Factors &lt;HIDE&gt;'!$B$49:$C$170,2,0)*O34*X34*AB34,0) - IFERROR(VLOOKUP(P34,'Emission Factors &lt;HIDE&gt;'!$B$49:$C$170,2,0)*Q34*Z34*AB34,0))/'Definitions -AND- Conversions'!$C$40)</f>
        <v/>
      </c>
      <c r="AF34" s="634" t="str">
        <f>IF(AND(ISBLANK(F34),I34="",ISBLANK(N34),ISBLANK(P34)),"",(IFERROR(VLOOKUP(F34,'Emission Factors &lt;HIDE&gt;'!$B$49:$C$170,2,0)*G34*T34,0) + IFERROR(VLOOKUP(I34,'Emission Factors &lt;HIDE&gt;'!$B$49:$C$170,2,0)*J34*V34,0) - IFERROR(M34*VLOOKUP(N34,'Emission Factors &lt;HIDE&gt;'!$B$49:$C$170,2,0)*O34*Y34,0) - IFERROR(VLOOKUP(P34,'Emission Factors &lt;HIDE&gt;'!$B$49:$C$170,2,0)*Q34*AA34,0))/'Definitions -AND- Conversions'!$C$40)</f>
        <v/>
      </c>
      <c r="AG34" s="677"/>
      <c r="AH34" s="672" t="str">
        <f t="shared" si="5"/>
        <v/>
      </c>
      <c r="AI34" s="672" t="str">
        <f t="shared" si="6"/>
        <v/>
      </c>
      <c r="AJ34" s="672" t="str">
        <f t="shared" si="3"/>
        <v/>
      </c>
      <c r="AK34" s="683"/>
    </row>
    <row r="35" spans="1:37" ht="47.25" customHeight="1" x14ac:dyDescent="0.25">
      <c r="A35" s="20"/>
      <c r="B35" s="492">
        <v>14</v>
      </c>
      <c r="C35" s="616" t="str">
        <f t="shared" si="7"/>
        <v/>
      </c>
      <c r="D35" s="668" t="str">
        <f t="shared" si="4"/>
        <v/>
      </c>
      <c r="E35" s="651"/>
      <c r="F35" s="621"/>
      <c r="G35" s="712"/>
      <c r="H35" s="589"/>
      <c r="I35" s="642" t="str">
        <f>IF(D35='Defaults &lt;HIDE&gt;'!$H$12,'Emission Factors &lt;HIDE&gt;'!$B$103,"")</f>
        <v/>
      </c>
      <c r="J35" s="712"/>
      <c r="K35" s="718"/>
      <c r="L35" s="621"/>
      <c r="M35" s="206"/>
      <c r="N35" s="206"/>
      <c r="O35" s="712"/>
      <c r="P35" s="641"/>
      <c r="Q35" s="715"/>
      <c r="R35" s="690"/>
      <c r="S35" s="694" t="str">
        <f>IF(G35&gt;=2000,'Emission Factors &lt;HIDE&gt;'!$C$189,IF(G35&gt;=200,'Emission Factors &lt;HIDE&gt;'!$C$188,IF(G35&gt;=50,'Emission Factors &lt;HIDE&gt;'!$C$187,"")))</f>
        <v/>
      </c>
      <c r="T35" s="609" t="str">
        <f t="shared" si="0"/>
        <v/>
      </c>
      <c r="U35" s="609" t="str">
        <f t="shared" si="1"/>
        <v/>
      </c>
      <c r="V35" s="609" t="str">
        <f t="shared" si="2"/>
        <v/>
      </c>
      <c r="W35" s="695" t="str">
        <f>IF(AND(F35="",J35=""),"",IF(OR($C35='Defaults &lt;HIDE&gt;'!$B$12,$C35='Defaults &lt;HIDE&gt;'!$B$13,$C35='Defaults &lt;HIDE&gt;'!$B$14),15,IF(NOT($C35=""),10,"")))</f>
        <v/>
      </c>
      <c r="X35" s="694" t="str">
        <f>IF(O35="","",IF(L35='Defaults &lt;HIDE&gt;'!$D$14,'Emission Factors &lt;HIDE&gt;'!$C$190,IF(OR(L35='Defaults &lt;HIDE&gt;'!$D$15,L35='Defaults &lt;HIDE&gt;'!$D$16),'Emission Factors &lt;HIDE&gt;'!$C$191,IF(O35&gt;=2000,'Emission Factors &lt;HIDE&gt;'!$C$189,IF(O35&gt;=200,'Emission Factors &lt;HIDE&gt;'!$C$188,IF(O35&gt;50,'Emission Factors &lt;HIDE&gt;'!$C$187,'Emission Factors &lt;HIDE&gt;'!$C$186))))))</f>
        <v/>
      </c>
      <c r="Y35" s="609" t="str">
        <f>IF(L35="","",IF(OR(L35='Defaults &lt;HIDE&gt;'!$D$15,L35='Defaults &lt;HIDE&gt;'!$D$16),'Emission Factors &lt;HIDE&gt;'!$C$197,IF(O35&lt;=50,'Emission Factors &lt;HIDE&gt;'!$C$195,'Emission Factors &lt;HIDE&gt;'!$C$196)))</f>
        <v/>
      </c>
      <c r="Z35" s="609" t="str">
        <f>IF(Q35="","",IF(L35='Defaults &lt;HIDE&gt;'!$D$15,0,IF(Q35&gt;=2000,'Emission Factors &lt;HIDE&gt;'!$C$189,IF(Q35&gt;=200,'Emission Factors &lt;HIDE&gt;'!$C$188,IF(Q35&gt;=50,'Emission Factors &lt;HIDE&gt;'!$C$187,'Emission Factors &lt;HIDE&gt;'!$C$186)))))</f>
        <v/>
      </c>
      <c r="AA35" s="609" t="str">
        <f>IF(P35="","",IF(L35='Defaults &lt;HIDE&gt;'!$D$15,0,IF(Q35&lt;=50,'Emission Factors &lt;HIDE&gt;'!$C$195,'Emission Factors &lt;HIDE&gt;'!$C$196)))</f>
        <v/>
      </c>
      <c r="AB35" s="709" t="str">
        <f>IF(L35="","",IF(OR($C35='Defaults &lt;HIDE&gt;'!$B$12,$C35='Defaults &lt;HIDE&gt;'!$B$13,$C35='Defaults &lt;HIDE&gt;'!$B$14),15,IF(NOT($C35=""),10,"")))</f>
        <v/>
      </c>
      <c r="AC35" s="705" t="str">
        <f>IF(AND(ISBLANK(F35),J35=""),"",(IFERROR(VLOOKUP(F35,'Emission Factors &lt;HIDE&gt;'!$B$49:$C$170,2,0)*G35*S35*W35,0) + IFERROR(VLOOKUP(I35,'Emission Factors &lt;HIDE&gt;'!$B$49:$C$170,2,0)*J35*U35*W35,0) + IFERROR(VLOOKUP(F35,'Emission Factors &lt;HIDE&gt;'!$B$49:$C$170,2,0)*G35*T35,0) + IFERROR(VLOOKUP(I35,'Emission Factors &lt;HIDE&gt;'!$B$49:$C$170,2,0)*J35*V35,0))/'Definitions -AND- Conversions'!$C$40)</f>
        <v/>
      </c>
      <c r="AD35" s="642" t="str">
        <f>IF(AND(ISBLANK(N35),ISBLANK(P35)),"",(IFERROR(M35*VLOOKUP(N35,'Emission Factors &lt;HIDE&gt;'!$B$49:$C$170,2,0)*O35*X35*AB35,0) + IFERROR(VLOOKUP(P35,'Emission Factors &lt;HIDE&gt;'!$B$49:$C$170,2,0)*Q35*Z35*AB35,0) + IFERROR(M35*VLOOKUP(N35,'Emission Factors &lt;HIDE&gt;'!$B$49:$C$170,2,0)*O35*Y35,0) + IFERROR(VLOOKUP(P35,'Emission Factors &lt;HIDE&gt;'!$B$49:$C$170,2,0)*Q35*AA35,0))/'Definitions -AND- Conversions'!$C$40)</f>
        <v/>
      </c>
      <c r="AE35" s="634" t="str">
        <f>IF(AND(ISBLANK(F35),I35="",ISBLANK(N35),ISBLANK(P35)),"",(IFERROR(VLOOKUP(F35,'Emission Factors &lt;HIDE&gt;'!$B$49:$C$170,2,0)*G35*S35*W35,0) + IFERROR(VLOOKUP(I35,'Emission Factors &lt;HIDE&gt;'!$B$49:$C$170,2,0)*J35*U35*W35,0) - IFERROR(M35*VLOOKUP(N35,'Emission Factors &lt;HIDE&gt;'!$B$49:$C$170,2,0)*O35*X35*AB35,0) - IFERROR(VLOOKUP(P35,'Emission Factors &lt;HIDE&gt;'!$B$49:$C$170,2,0)*Q35*Z35*AB35,0))/'Definitions -AND- Conversions'!$C$40)</f>
        <v/>
      </c>
      <c r="AF35" s="634" t="str">
        <f>IF(AND(ISBLANK(F35),I35="",ISBLANK(N35),ISBLANK(P35)),"",(IFERROR(VLOOKUP(F35,'Emission Factors &lt;HIDE&gt;'!$B$49:$C$170,2,0)*G35*T35,0) + IFERROR(VLOOKUP(I35,'Emission Factors &lt;HIDE&gt;'!$B$49:$C$170,2,0)*J35*V35,0) - IFERROR(M35*VLOOKUP(N35,'Emission Factors &lt;HIDE&gt;'!$B$49:$C$170,2,0)*O35*Y35,0) - IFERROR(VLOOKUP(P35,'Emission Factors &lt;HIDE&gt;'!$B$49:$C$170,2,0)*Q35*AA35,0))/'Definitions -AND- Conversions'!$C$40)</f>
        <v/>
      </c>
      <c r="AG35" s="677"/>
      <c r="AH35" s="672" t="str">
        <f t="shared" si="5"/>
        <v/>
      </c>
      <c r="AI35" s="672" t="str">
        <f t="shared" si="6"/>
        <v/>
      </c>
      <c r="AJ35" s="672" t="str">
        <f t="shared" si="3"/>
        <v/>
      </c>
      <c r="AK35" s="683"/>
    </row>
    <row r="36" spans="1:37" ht="47.25" customHeight="1" x14ac:dyDescent="0.25">
      <c r="A36" s="20"/>
      <c r="B36" s="492">
        <v>15</v>
      </c>
      <c r="C36" s="616" t="str">
        <f t="shared" si="7"/>
        <v/>
      </c>
      <c r="D36" s="668" t="str">
        <f t="shared" si="4"/>
        <v/>
      </c>
      <c r="E36" s="651"/>
      <c r="F36" s="621"/>
      <c r="G36" s="712"/>
      <c r="H36" s="589"/>
      <c r="I36" s="642" t="str">
        <f>IF(D36='Defaults &lt;HIDE&gt;'!$H$12,'Emission Factors &lt;HIDE&gt;'!$B$103,"")</f>
        <v/>
      </c>
      <c r="J36" s="712"/>
      <c r="K36" s="718"/>
      <c r="L36" s="621"/>
      <c r="M36" s="206"/>
      <c r="N36" s="206"/>
      <c r="O36" s="712"/>
      <c r="P36" s="641"/>
      <c r="Q36" s="715"/>
      <c r="R36" s="690"/>
      <c r="S36" s="694" t="str">
        <f>IF(G36&gt;=2000,'Emission Factors &lt;HIDE&gt;'!$C$189,IF(G36&gt;=200,'Emission Factors &lt;HIDE&gt;'!$C$188,IF(G36&gt;=50,'Emission Factors &lt;HIDE&gt;'!$C$187,"")))</f>
        <v/>
      </c>
      <c r="T36" s="609" t="str">
        <f t="shared" si="0"/>
        <v/>
      </c>
      <c r="U36" s="609" t="str">
        <f t="shared" si="1"/>
        <v/>
      </c>
      <c r="V36" s="609" t="str">
        <f t="shared" si="2"/>
        <v/>
      </c>
      <c r="W36" s="695" t="str">
        <f>IF(AND(F36="",J36=""),"",IF(OR($C36='Defaults &lt;HIDE&gt;'!$B$12,$C36='Defaults &lt;HIDE&gt;'!$B$13,$C36='Defaults &lt;HIDE&gt;'!$B$14),15,IF(NOT($C36=""),10,"")))</f>
        <v/>
      </c>
      <c r="X36" s="694" t="str">
        <f>IF(O36="","",IF(L36='Defaults &lt;HIDE&gt;'!$D$14,'Emission Factors &lt;HIDE&gt;'!$C$190,IF(OR(L36='Defaults &lt;HIDE&gt;'!$D$15,L36='Defaults &lt;HIDE&gt;'!$D$16),'Emission Factors &lt;HIDE&gt;'!$C$191,IF(O36&gt;=2000,'Emission Factors &lt;HIDE&gt;'!$C$189,IF(O36&gt;=200,'Emission Factors &lt;HIDE&gt;'!$C$188,IF(O36&gt;50,'Emission Factors &lt;HIDE&gt;'!$C$187,'Emission Factors &lt;HIDE&gt;'!$C$186))))))</f>
        <v/>
      </c>
      <c r="Y36" s="609" t="str">
        <f>IF(L36="","",IF(OR(L36='Defaults &lt;HIDE&gt;'!$D$15,L36='Defaults &lt;HIDE&gt;'!$D$16),'Emission Factors &lt;HIDE&gt;'!$C$197,IF(O36&lt;=50,'Emission Factors &lt;HIDE&gt;'!$C$195,'Emission Factors &lt;HIDE&gt;'!$C$196)))</f>
        <v/>
      </c>
      <c r="Z36" s="609" t="str">
        <f>IF(Q36="","",IF(L36='Defaults &lt;HIDE&gt;'!$D$15,0,IF(Q36&gt;=2000,'Emission Factors &lt;HIDE&gt;'!$C$189,IF(Q36&gt;=200,'Emission Factors &lt;HIDE&gt;'!$C$188,IF(Q36&gt;=50,'Emission Factors &lt;HIDE&gt;'!$C$187,'Emission Factors &lt;HIDE&gt;'!$C$186)))))</f>
        <v/>
      </c>
      <c r="AA36" s="609" t="str">
        <f>IF(P36="","",IF(L36='Defaults &lt;HIDE&gt;'!$D$15,0,IF(Q36&lt;=50,'Emission Factors &lt;HIDE&gt;'!$C$195,'Emission Factors &lt;HIDE&gt;'!$C$196)))</f>
        <v/>
      </c>
      <c r="AB36" s="709" t="str">
        <f>IF(L36="","",IF(OR($C36='Defaults &lt;HIDE&gt;'!$B$12,$C36='Defaults &lt;HIDE&gt;'!$B$13,$C36='Defaults &lt;HIDE&gt;'!$B$14),15,IF(NOT($C36=""),10,"")))</f>
        <v/>
      </c>
      <c r="AC36" s="705" t="str">
        <f>IF(AND(ISBLANK(F36),J36=""),"",(IFERROR(VLOOKUP(F36,'Emission Factors &lt;HIDE&gt;'!$B$49:$C$170,2,0)*G36*S36*W36,0) + IFERROR(VLOOKUP(I36,'Emission Factors &lt;HIDE&gt;'!$B$49:$C$170,2,0)*J36*U36*W36,0) + IFERROR(VLOOKUP(F36,'Emission Factors &lt;HIDE&gt;'!$B$49:$C$170,2,0)*G36*T36,0) + IFERROR(VLOOKUP(I36,'Emission Factors &lt;HIDE&gt;'!$B$49:$C$170,2,0)*J36*V36,0))/'Definitions -AND- Conversions'!$C$40)</f>
        <v/>
      </c>
      <c r="AD36" s="642" t="str">
        <f>IF(AND(ISBLANK(N36),ISBLANK(P36)),"",(IFERROR(M36*VLOOKUP(N36,'Emission Factors &lt;HIDE&gt;'!$B$49:$C$170,2,0)*O36*X36*AB36,0) + IFERROR(VLOOKUP(P36,'Emission Factors &lt;HIDE&gt;'!$B$49:$C$170,2,0)*Q36*Z36*AB36,0) + IFERROR(M36*VLOOKUP(N36,'Emission Factors &lt;HIDE&gt;'!$B$49:$C$170,2,0)*O36*Y36,0) + IFERROR(VLOOKUP(P36,'Emission Factors &lt;HIDE&gt;'!$B$49:$C$170,2,0)*Q36*AA36,0))/'Definitions -AND- Conversions'!$C$40)</f>
        <v/>
      </c>
      <c r="AE36" s="634" t="str">
        <f>IF(AND(ISBLANK(F36),I36="",ISBLANK(N36),ISBLANK(P36)),"",(IFERROR(VLOOKUP(F36,'Emission Factors &lt;HIDE&gt;'!$B$49:$C$170,2,0)*G36*S36*W36,0) + IFERROR(VLOOKUP(I36,'Emission Factors &lt;HIDE&gt;'!$B$49:$C$170,2,0)*J36*U36*W36,0) - IFERROR(M36*VLOOKUP(N36,'Emission Factors &lt;HIDE&gt;'!$B$49:$C$170,2,0)*O36*X36*AB36,0) - IFERROR(VLOOKUP(P36,'Emission Factors &lt;HIDE&gt;'!$B$49:$C$170,2,0)*Q36*Z36*AB36,0))/'Definitions -AND- Conversions'!$C$40)</f>
        <v/>
      </c>
      <c r="AF36" s="634" t="str">
        <f>IF(AND(ISBLANK(F36),I36="",ISBLANK(N36),ISBLANK(P36)),"",(IFERROR(VLOOKUP(F36,'Emission Factors &lt;HIDE&gt;'!$B$49:$C$170,2,0)*G36*T36,0) + IFERROR(VLOOKUP(I36,'Emission Factors &lt;HIDE&gt;'!$B$49:$C$170,2,0)*J36*V36,0) - IFERROR(M36*VLOOKUP(N36,'Emission Factors &lt;HIDE&gt;'!$B$49:$C$170,2,0)*O36*Y36,0) - IFERROR(VLOOKUP(P36,'Emission Factors &lt;HIDE&gt;'!$B$49:$C$170,2,0)*Q36*AA36,0))/'Definitions -AND- Conversions'!$C$40)</f>
        <v/>
      </c>
      <c r="AG36" s="677"/>
      <c r="AH36" s="672" t="str">
        <f t="shared" si="5"/>
        <v/>
      </c>
      <c r="AI36" s="672" t="str">
        <f t="shared" si="6"/>
        <v/>
      </c>
      <c r="AJ36" s="672" t="str">
        <f t="shared" si="3"/>
        <v/>
      </c>
      <c r="AK36" s="683"/>
    </row>
    <row r="37" spans="1:37" ht="47.25" customHeight="1" x14ac:dyDescent="0.25">
      <c r="A37" s="20"/>
      <c r="B37" s="492">
        <v>16</v>
      </c>
      <c r="C37" s="616" t="str">
        <f t="shared" si="7"/>
        <v/>
      </c>
      <c r="D37" s="668" t="str">
        <f t="shared" si="4"/>
        <v/>
      </c>
      <c r="E37" s="651"/>
      <c r="F37" s="621"/>
      <c r="G37" s="712"/>
      <c r="H37" s="589"/>
      <c r="I37" s="642" t="str">
        <f>IF(D37='Defaults &lt;HIDE&gt;'!$H$12,'Emission Factors &lt;HIDE&gt;'!$B$103,"")</f>
        <v/>
      </c>
      <c r="J37" s="712"/>
      <c r="K37" s="718"/>
      <c r="L37" s="621"/>
      <c r="M37" s="206"/>
      <c r="N37" s="206"/>
      <c r="O37" s="712"/>
      <c r="P37" s="641"/>
      <c r="Q37" s="715"/>
      <c r="R37" s="690"/>
      <c r="S37" s="694" t="str">
        <f>IF(G37&gt;=2000,'Emission Factors &lt;HIDE&gt;'!$C$189,IF(G37&gt;=200,'Emission Factors &lt;HIDE&gt;'!$C$188,IF(G37&gt;=50,'Emission Factors &lt;HIDE&gt;'!$C$187,"")))</f>
        <v/>
      </c>
      <c r="T37" s="609" t="str">
        <f t="shared" si="0"/>
        <v/>
      </c>
      <c r="U37" s="609" t="str">
        <f t="shared" si="1"/>
        <v/>
      </c>
      <c r="V37" s="609" t="str">
        <f t="shared" si="2"/>
        <v/>
      </c>
      <c r="W37" s="695" t="str">
        <f>IF(AND(F37="",J37=""),"",IF(OR($C37='Defaults &lt;HIDE&gt;'!$B$12,$C37='Defaults &lt;HIDE&gt;'!$B$13,$C37='Defaults &lt;HIDE&gt;'!$B$14),15,IF(NOT($C37=""),10,"")))</f>
        <v/>
      </c>
      <c r="X37" s="694" t="str">
        <f>IF(O37="","",IF(L37='Defaults &lt;HIDE&gt;'!$D$14,'Emission Factors &lt;HIDE&gt;'!$C$190,IF(OR(L37='Defaults &lt;HIDE&gt;'!$D$15,L37='Defaults &lt;HIDE&gt;'!$D$16),'Emission Factors &lt;HIDE&gt;'!$C$191,IF(O37&gt;=2000,'Emission Factors &lt;HIDE&gt;'!$C$189,IF(O37&gt;=200,'Emission Factors &lt;HIDE&gt;'!$C$188,IF(O37&gt;50,'Emission Factors &lt;HIDE&gt;'!$C$187,'Emission Factors &lt;HIDE&gt;'!$C$186))))))</f>
        <v/>
      </c>
      <c r="Y37" s="609" t="str">
        <f>IF(L37="","",IF(OR(L37='Defaults &lt;HIDE&gt;'!$D$15,L37='Defaults &lt;HIDE&gt;'!$D$16),'Emission Factors &lt;HIDE&gt;'!$C$197,IF(O37&lt;=50,'Emission Factors &lt;HIDE&gt;'!$C$195,'Emission Factors &lt;HIDE&gt;'!$C$196)))</f>
        <v/>
      </c>
      <c r="Z37" s="609" t="str">
        <f>IF(Q37="","",IF(L37='Defaults &lt;HIDE&gt;'!$D$15,0,IF(Q37&gt;=2000,'Emission Factors &lt;HIDE&gt;'!$C$189,IF(Q37&gt;=200,'Emission Factors &lt;HIDE&gt;'!$C$188,IF(Q37&gt;=50,'Emission Factors &lt;HIDE&gt;'!$C$187,'Emission Factors &lt;HIDE&gt;'!$C$186)))))</f>
        <v/>
      </c>
      <c r="AA37" s="609" t="str">
        <f>IF(P37="","",IF(L37='Defaults &lt;HIDE&gt;'!$D$15,0,IF(Q37&lt;=50,'Emission Factors &lt;HIDE&gt;'!$C$195,'Emission Factors &lt;HIDE&gt;'!$C$196)))</f>
        <v/>
      </c>
      <c r="AB37" s="709" t="str">
        <f>IF(L37="","",IF(OR($C37='Defaults &lt;HIDE&gt;'!$B$12,$C37='Defaults &lt;HIDE&gt;'!$B$13,$C37='Defaults &lt;HIDE&gt;'!$B$14),15,IF(NOT($C37=""),10,"")))</f>
        <v/>
      </c>
      <c r="AC37" s="705" t="str">
        <f>IF(AND(ISBLANK(F37),J37=""),"",(IFERROR(VLOOKUP(F37,'Emission Factors &lt;HIDE&gt;'!$B$49:$C$170,2,0)*G37*S37*W37,0) + IFERROR(VLOOKUP(I37,'Emission Factors &lt;HIDE&gt;'!$B$49:$C$170,2,0)*J37*U37*W37,0) + IFERROR(VLOOKUP(F37,'Emission Factors &lt;HIDE&gt;'!$B$49:$C$170,2,0)*G37*T37,0) + IFERROR(VLOOKUP(I37,'Emission Factors &lt;HIDE&gt;'!$B$49:$C$170,2,0)*J37*V37,0))/'Definitions -AND- Conversions'!$C$40)</f>
        <v/>
      </c>
      <c r="AD37" s="642" t="str">
        <f>IF(AND(ISBLANK(N37),ISBLANK(P37)),"",(IFERROR(M37*VLOOKUP(N37,'Emission Factors &lt;HIDE&gt;'!$B$49:$C$170,2,0)*O37*X37*AB37,0) + IFERROR(VLOOKUP(P37,'Emission Factors &lt;HIDE&gt;'!$B$49:$C$170,2,0)*Q37*Z37*AB37,0) + IFERROR(M37*VLOOKUP(N37,'Emission Factors &lt;HIDE&gt;'!$B$49:$C$170,2,0)*O37*Y37,0) + IFERROR(VLOOKUP(P37,'Emission Factors &lt;HIDE&gt;'!$B$49:$C$170,2,0)*Q37*AA37,0))/'Definitions -AND- Conversions'!$C$40)</f>
        <v/>
      </c>
      <c r="AE37" s="634" t="str">
        <f>IF(AND(ISBLANK(F37),I37="",ISBLANK(N37),ISBLANK(P37)),"",(IFERROR(VLOOKUP(F37,'Emission Factors &lt;HIDE&gt;'!$B$49:$C$170,2,0)*G37*S37*W37,0) + IFERROR(VLOOKUP(I37,'Emission Factors &lt;HIDE&gt;'!$B$49:$C$170,2,0)*J37*U37*W37,0) - IFERROR(M37*VLOOKUP(N37,'Emission Factors &lt;HIDE&gt;'!$B$49:$C$170,2,0)*O37*X37*AB37,0) - IFERROR(VLOOKUP(P37,'Emission Factors &lt;HIDE&gt;'!$B$49:$C$170,2,0)*Q37*Z37*AB37,0))/'Definitions -AND- Conversions'!$C$40)</f>
        <v/>
      </c>
      <c r="AF37" s="634" t="str">
        <f>IF(AND(ISBLANK(F37),I37="",ISBLANK(N37),ISBLANK(P37)),"",(IFERROR(VLOOKUP(F37,'Emission Factors &lt;HIDE&gt;'!$B$49:$C$170,2,0)*G37*T37,0) + IFERROR(VLOOKUP(I37,'Emission Factors &lt;HIDE&gt;'!$B$49:$C$170,2,0)*J37*V37,0) - IFERROR(M37*VLOOKUP(N37,'Emission Factors &lt;HIDE&gt;'!$B$49:$C$170,2,0)*O37*Y37,0) - IFERROR(VLOOKUP(P37,'Emission Factors &lt;HIDE&gt;'!$B$49:$C$170,2,0)*Q37*AA37,0))/'Definitions -AND- Conversions'!$C$40)</f>
        <v/>
      </c>
      <c r="AG37" s="677"/>
      <c r="AH37" s="672" t="str">
        <f t="shared" si="5"/>
        <v/>
      </c>
      <c r="AI37" s="672" t="str">
        <f t="shared" si="6"/>
        <v/>
      </c>
      <c r="AJ37" s="672" t="str">
        <f t="shared" si="3"/>
        <v/>
      </c>
      <c r="AK37" s="683"/>
    </row>
    <row r="38" spans="1:37" ht="47.25" customHeight="1" x14ac:dyDescent="0.25">
      <c r="A38" s="20"/>
      <c r="B38" s="492">
        <v>17</v>
      </c>
      <c r="C38" s="616" t="str">
        <f t="shared" si="7"/>
        <v/>
      </c>
      <c r="D38" s="668" t="str">
        <f t="shared" si="4"/>
        <v/>
      </c>
      <c r="E38" s="651"/>
      <c r="F38" s="621"/>
      <c r="G38" s="712"/>
      <c r="H38" s="589"/>
      <c r="I38" s="642" t="str">
        <f>IF(D38='Defaults &lt;HIDE&gt;'!$H$12,'Emission Factors &lt;HIDE&gt;'!$B$103,"")</f>
        <v/>
      </c>
      <c r="J38" s="712"/>
      <c r="K38" s="718"/>
      <c r="L38" s="621"/>
      <c r="M38" s="206"/>
      <c r="N38" s="206"/>
      <c r="O38" s="712"/>
      <c r="P38" s="641"/>
      <c r="Q38" s="715"/>
      <c r="R38" s="690"/>
      <c r="S38" s="694" t="str">
        <f>IF(G38&gt;=2000,'Emission Factors &lt;HIDE&gt;'!$C$189,IF(G38&gt;=200,'Emission Factors &lt;HIDE&gt;'!$C$188,IF(G38&gt;=50,'Emission Factors &lt;HIDE&gt;'!$C$187,"")))</f>
        <v/>
      </c>
      <c r="T38" s="609" t="str">
        <f t="shared" si="0"/>
        <v/>
      </c>
      <c r="U38" s="609" t="str">
        <f t="shared" si="1"/>
        <v/>
      </c>
      <c r="V38" s="609" t="str">
        <f t="shared" si="2"/>
        <v/>
      </c>
      <c r="W38" s="695" t="str">
        <f>IF(AND(F38="",J38=""),"",IF(OR($C38='Defaults &lt;HIDE&gt;'!$B$12,$C38='Defaults &lt;HIDE&gt;'!$B$13,$C38='Defaults &lt;HIDE&gt;'!$B$14),15,IF(NOT($C38=""),10,"")))</f>
        <v/>
      </c>
      <c r="X38" s="694" t="str">
        <f>IF(O38="","",IF(L38='Defaults &lt;HIDE&gt;'!$D$14,'Emission Factors &lt;HIDE&gt;'!$C$190,IF(OR(L38='Defaults &lt;HIDE&gt;'!$D$15,L38='Defaults &lt;HIDE&gt;'!$D$16),'Emission Factors &lt;HIDE&gt;'!$C$191,IF(O38&gt;=2000,'Emission Factors &lt;HIDE&gt;'!$C$189,IF(O38&gt;=200,'Emission Factors &lt;HIDE&gt;'!$C$188,IF(O38&gt;50,'Emission Factors &lt;HIDE&gt;'!$C$187,'Emission Factors &lt;HIDE&gt;'!$C$186))))))</f>
        <v/>
      </c>
      <c r="Y38" s="609" t="str">
        <f>IF(L38="","",IF(OR(L38='Defaults &lt;HIDE&gt;'!$D$15,L38='Defaults &lt;HIDE&gt;'!$D$16),'Emission Factors &lt;HIDE&gt;'!$C$197,IF(O38&lt;=50,'Emission Factors &lt;HIDE&gt;'!$C$195,'Emission Factors &lt;HIDE&gt;'!$C$196)))</f>
        <v/>
      </c>
      <c r="Z38" s="609" t="str">
        <f>IF(Q38="","",IF(L38='Defaults &lt;HIDE&gt;'!$D$15,0,IF(Q38&gt;=2000,'Emission Factors &lt;HIDE&gt;'!$C$189,IF(Q38&gt;=200,'Emission Factors &lt;HIDE&gt;'!$C$188,IF(Q38&gt;=50,'Emission Factors &lt;HIDE&gt;'!$C$187,'Emission Factors &lt;HIDE&gt;'!$C$186)))))</f>
        <v/>
      </c>
      <c r="AA38" s="609" t="str">
        <f>IF(P38="","",IF(L38='Defaults &lt;HIDE&gt;'!$D$15,0,IF(Q38&lt;=50,'Emission Factors &lt;HIDE&gt;'!$C$195,'Emission Factors &lt;HIDE&gt;'!$C$196)))</f>
        <v/>
      </c>
      <c r="AB38" s="709" t="str">
        <f>IF(L38="","",IF(OR($C38='Defaults &lt;HIDE&gt;'!$B$12,$C38='Defaults &lt;HIDE&gt;'!$B$13,$C38='Defaults &lt;HIDE&gt;'!$B$14),15,IF(NOT($C38=""),10,"")))</f>
        <v/>
      </c>
      <c r="AC38" s="705" t="str">
        <f>IF(AND(ISBLANK(F38),J38=""),"",(IFERROR(VLOOKUP(F38,'Emission Factors &lt;HIDE&gt;'!$B$49:$C$170,2,0)*G38*S38*W38,0) + IFERROR(VLOOKUP(I38,'Emission Factors &lt;HIDE&gt;'!$B$49:$C$170,2,0)*J38*U38*W38,0) + IFERROR(VLOOKUP(F38,'Emission Factors &lt;HIDE&gt;'!$B$49:$C$170,2,0)*G38*T38,0) + IFERROR(VLOOKUP(I38,'Emission Factors &lt;HIDE&gt;'!$B$49:$C$170,2,0)*J38*V38,0))/'Definitions -AND- Conversions'!$C$40)</f>
        <v/>
      </c>
      <c r="AD38" s="642" t="str">
        <f>IF(AND(ISBLANK(N38),ISBLANK(P38)),"",(IFERROR(M38*VLOOKUP(N38,'Emission Factors &lt;HIDE&gt;'!$B$49:$C$170,2,0)*O38*X38*AB38,0) + IFERROR(VLOOKUP(P38,'Emission Factors &lt;HIDE&gt;'!$B$49:$C$170,2,0)*Q38*Z38*AB38,0) + IFERROR(M38*VLOOKUP(N38,'Emission Factors &lt;HIDE&gt;'!$B$49:$C$170,2,0)*O38*Y38,0) + IFERROR(VLOOKUP(P38,'Emission Factors &lt;HIDE&gt;'!$B$49:$C$170,2,0)*Q38*AA38,0))/'Definitions -AND- Conversions'!$C$40)</f>
        <v/>
      </c>
      <c r="AE38" s="634" t="str">
        <f>IF(AND(ISBLANK(F38),I38="",ISBLANK(N38),ISBLANK(P38)),"",(IFERROR(VLOOKUP(F38,'Emission Factors &lt;HIDE&gt;'!$B$49:$C$170,2,0)*G38*S38*W38,0) + IFERROR(VLOOKUP(I38,'Emission Factors &lt;HIDE&gt;'!$B$49:$C$170,2,0)*J38*U38*W38,0) - IFERROR(M38*VLOOKUP(N38,'Emission Factors &lt;HIDE&gt;'!$B$49:$C$170,2,0)*O38*X38*AB38,0) - IFERROR(VLOOKUP(P38,'Emission Factors &lt;HIDE&gt;'!$B$49:$C$170,2,0)*Q38*Z38*AB38,0))/'Definitions -AND- Conversions'!$C$40)</f>
        <v/>
      </c>
      <c r="AF38" s="634" t="str">
        <f>IF(AND(ISBLANK(F38),I38="",ISBLANK(N38),ISBLANK(P38)),"",(IFERROR(VLOOKUP(F38,'Emission Factors &lt;HIDE&gt;'!$B$49:$C$170,2,0)*G38*T38,0) + IFERROR(VLOOKUP(I38,'Emission Factors &lt;HIDE&gt;'!$B$49:$C$170,2,0)*J38*V38,0) - IFERROR(M38*VLOOKUP(N38,'Emission Factors &lt;HIDE&gt;'!$B$49:$C$170,2,0)*O38*Y38,0) - IFERROR(VLOOKUP(P38,'Emission Factors &lt;HIDE&gt;'!$B$49:$C$170,2,0)*Q38*AA38,0))/'Definitions -AND- Conversions'!$C$40)</f>
        <v/>
      </c>
      <c r="AG38" s="677"/>
      <c r="AH38" s="672" t="str">
        <f t="shared" si="5"/>
        <v/>
      </c>
      <c r="AI38" s="672" t="str">
        <f t="shared" si="6"/>
        <v/>
      </c>
      <c r="AJ38" s="672" t="str">
        <f t="shared" si="3"/>
        <v/>
      </c>
      <c r="AK38" s="683"/>
    </row>
    <row r="39" spans="1:37" ht="47.25" customHeight="1" x14ac:dyDescent="0.25">
      <c r="A39" s="20"/>
      <c r="B39" s="492">
        <v>18</v>
      </c>
      <c r="C39" s="616" t="str">
        <f t="shared" si="7"/>
        <v/>
      </c>
      <c r="D39" s="668" t="str">
        <f t="shared" si="4"/>
        <v/>
      </c>
      <c r="E39" s="651"/>
      <c r="F39" s="621"/>
      <c r="G39" s="712"/>
      <c r="H39" s="589"/>
      <c r="I39" s="642" t="str">
        <f>IF(D39='Defaults &lt;HIDE&gt;'!$H$12,'Emission Factors &lt;HIDE&gt;'!$B$103,"")</f>
        <v/>
      </c>
      <c r="J39" s="712"/>
      <c r="K39" s="718"/>
      <c r="L39" s="621"/>
      <c r="M39" s="206"/>
      <c r="N39" s="206"/>
      <c r="O39" s="712"/>
      <c r="P39" s="641"/>
      <c r="Q39" s="715"/>
      <c r="R39" s="690"/>
      <c r="S39" s="694" t="str">
        <f>IF(G39&gt;=2000,'Emission Factors &lt;HIDE&gt;'!$C$189,IF(G39&gt;=200,'Emission Factors &lt;HIDE&gt;'!$C$188,IF(G39&gt;=50,'Emission Factors &lt;HIDE&gt;'!$C$187,"")))</f>
        <v/>
      </c>
      <c r="T39" s="609" t="str">
        <f t="shared" si="0"/>
        <v/>
      </c>
      <c r="U39" s="609" t="str">
        <f t="shared" si="1"/>
        <v/>
      </c>
      <c r="V39" s="609" t="str">
        <f t="shared" si="2"/>
        <v/>
      </c>
      <c r="W39" s="695" t="str">
        <f>IF(AND(F39="",J39=""),"",IF(OR($C39='Defaults &lt;HIDE&gt;'!$B$12,$C39='Defaults &lt;HIDE&gt;'!$B$13,$C39='Defaults &lt;HIDE&gt;'!$B$14),15,IF(NOT($C39=""),10,"")))</f>
        <v/>
      </c>
      <c r="X39" s="694" t="str">
        <f>IF(O39="","",IF(L39='Defaults &lt;HIDE&gt;'!$D$14,'Emission Factors &lt;HIDE&gt;'!$C$190,IF(OR(L39='Defaults &lt;HIDE&gt;'!$D$15,L39='Defaults &lt;HIDE&gt;'!$D$16),'Emission Factors &lt;HIDE&gt;'!$C$191,IF(O39&gt;=2000,'Emission Factors &lt;HIDE&gt;'!$C$189,IF(O39&gt;=200,'Emission Factors &lt;HIDE&gt;'!$C$188,IF(O39&gt;50,'Emission Factors &lt;HIDE&gt;'!$C$187,'Emission Factors &lt;HIDE&gt;'!$C$186))))))</f>
        <v/>
      </c>
      <c r="Y39" s="609" t="str">
        <f>IF(L39="","",IF(OR(L39='Defaults &lt;HIDE&gt;'!$D$15,L39='Defaults &lt;HIDE&gt;'!$D$16),'Emission Factors &lt;HIDE&gt;'!$C$197,IF(O39&lt;=50,'Emission Factors &lt;HIDE&gt;'!$C$195,'Emission Factors &lt;HIDE&gt;'!$C$196)))</f>
        <v/>
      </c>
      <c r="Z39" s="609" t="str">
        <f>IF(Q39="","",IF(L39='Defaults &lt;HIDE&gt;'!$D$15,0,IF(Q39&gt;=2000,'Emission Factors &lt;HIDE&gt;'!$C$189,IF(Q39&gt;=200,'Emission Factors &lt;HIDE&gt;'!$C$188,IF(Q39&gt;=50,'Emission Factors &lt;HIDE&gt;'!$C$187,'Emission Factors &lt;HIDE&gt;'!$C$186)))))</f>
        <v/>
      </c>
      <c r="AA39" s="609" t="str">
        <f>IF(P39="","",IF(L39='Defaults &lt;HIDE&gt;'!$D$15,0,IF(Q39&lt;=50,'Emission Factors &lt;HIDE&gt;'!$C$195,'Emission Factors &lt;HIDE&gt;'!$C$196)))</f>
        <v/>
      </c>
      <c r="AB39" s="709" t="str">
        <f>IF(L39="","",IF(OR($C39='Defaults &lt;HIDE&gt;'!$B$12,$C39='Defaults &lt;HIDE&gt;'!$B$13,$C39='Defaults &lt;HIDE&gt;'!$B$14),15,IF(NOT($C39=""),10,"")))</f>
        <v/>
      </c>
      <c r="AC39" s="705" t="str">
        <f>IF(AND(ISBLANK(F39),J39=""),"",(IFERROR(VLOOKUP(F39,'Emission Factors &lt;HIDE&gt;'!$B$49:$C$170,2,0)*G39*S39*W39,0) + IFERROR(VLOOKUP(I39,'Emission Factors &lt;HIDE&gt;'!$B$49:$C$170,2,0)*J39*U39*W39,0) + IFERROR(VLOOKUP(F39,'Emission Factors &lt;HIDE&gt;'!$B$49:$C$170,2,0)*G39*T39,0) + IFERROR(VLOOKUP(I39,'Emission Factors &lt;HIDE&gt;'!$B$49:$C$170,2,0)*J39*V39,0))/'Definitions -AND- Conversions'!$C$40)</f>
        <v/>
      </c>
      <c r="AD39" s="642" t="str">
        <f>IF(AND(ISBLANK(N39),ISBLANK(P39)),"",(IFERROR(M39*VLOOKUP(N39,'Emission Factors &lt;HIDE&gt;'!$B$49:$C$170,2,0)*O39*X39*AB39,0) + IFERROR(VLOOKUP(P39,'Emission Factors &lt;HIDE&gt;'!$B$49:$C$170,2,0)*Q39*Z39*AB39,0) + IFERROR(M39*VLOOKUP(N39,'Emission Factors &lt;HIDE&gt;'!$B$49:$C$170,2,0)*O39*Y39,0) + IFERROR(VLOOKUP(P39,'Emission Factors &lt;HIDE&gt;'!$B$49:$C$170,2,0)*Q39*AA39,0))/'Definitions -AND- Conversions'!$C$40)</f>
        <v/>
      </c>
      <c r="AE39" s="634" t="str">
        <f>IF(AND(ISBLANK(F39),I39="",ISBLANK(N39),ISBLANK(P39)),"",(IFERROR(VLOOKUP(F39,'Emission Factors &lt;HIDE&gt;'!$B$49:$C$170,2,0)*G39*S39*W39,0) + IFERROR(VLOOKUP(I39,'Emission Factors &lt;HIDE&gt;'!$B$49:$C$170,2,0)*J39*U39*W39,0) - IFERROR(M39*VLOOKUP(N39,'Emission Factors &lt;HIDE&gt;'!$B$49:$C$170,2,0)*O39*X39*AB39,0) - IFERROR(VLOOKUP(P39,'Emission Factors &lt;HIDE&gt;'!$B$49:$C$170,2,0)*Q39*Z39*AB39,0))/'Definitions -AND- Conversions'!$C$40)</f>
        <v/>
      </c>
      <c r="AF39" s="634" t="str">
        <f>IF(AND(ISBLANK(F39),I39="",ISBLANK(N39),ISBLANK(P39)),"",(IFERROR(VLOOKUP(F39,'Emission Factors &lt;HIDE&gt;'!$B$49:$C$170,2,0)*G39*T39,0) + IFERROR(VLOOKUP(I39,'Emission Factors &lt;HIDE&gt;'!$B$49:$C$170,2,0)*J39*V39,0) - IFERROR(M39*VLOOKUP(N39,'Emission Factors &lt;HIDE&gt;'!$B$49:$C$170,2,0)*O39*Y39,0) - IFERROR(VLOOKUP(P39,'Emission Factors &lt;HIDE&gt;'!$B$49:$C$170,2,0)*Q39*AA39,0))/'Definitions -AND- Conversions'!$C$40)</f>
        <v/>
      </c>
      <c r="AG39" s="677"/>
      <c r="AH39" s="672" t="str">
        <f t="shared" si="5"/>
        <v/>
      </c>
      <c r="AI39" s="672" t="str">
        <f t="shared" si="6"/>
        <v/>
      </c>
      <c r="AJ39" s="672" t="str">
        <f t="shared" si="3"/>
        <v/>
      </c>
      <c r="AK39" s="683"/>
    </row>
    <row r="40" spans="1:37" ht="47.25" customHeight="1" x14ac:dyDescent="0.25">
      <c r="A40" s="20"/>
      <c r="B40" s="492">
        <v>19</v>
      </c>
      <c r="C40" s="616" t="str">
        <f t="shared" si="7"/>
        <v/>
      </c>
      <c r="D40" s="668" t="str">
        <f t="shared" si="4"/>
        <v/>
      </c>
      <c r="E40" s="651"/>
      <c r="F40" s="621"/>
      <c r="G40" s="712"/>
      <c r="H40" s="589"/>
      <c r="I40" s="642" t="str">
        <f>IF(D40='Defaults &lt;HIDE&gt;'!$H$12,'Emission Factors &lt;HIDE&gt;'!$B$103,"")</f>
        <v/>
      </c>
      <c r="J40" s="712"/>
      <c r="K40" s="718"/>
      <c r="L40" s="621"/>
      <c r="M40" s="206"/>
      <c r="N40" s="206"/>
      <c r="O40" s="712"/>
      <c r="P40" s="641"/>
      <c r="Q40" s="715"/>
      <c r="R40" s="690"/>
      <c r="S40" s="694" t="str">
        <f>IF(G40&gt;=2000,'Emission Factors &lt;HIDE&gt;'!$C$189,IF(G40&gt;=200,'Emission Factors &lt;HIDE&gt;'!$C$188,IF(G40&gt;=50,'Emission Factors &lt;HIDE&gt;'!$C$187,"")))</f>
        <v/>
      </c>
      <c r="T40" s="609" t="str">
        <f t="shared" si="0"/>
        <v/>
      </c>
      <c r="U40" s="609" t="str">
        <f t="shared" si="1"/>
        <v/>
      </c>
      <c r="V40" s="609" t="str">
        <f t="shared" si="2"/>
        <v/>
      </c>
      <c r="W40" s="695" t="str">
        <f>IF(AND(F40="",J40=""),"",IF(OR($C40='Defaults &lt;HIDE&gt;'!$B$12,$C40='Defaults &lt;HIDE&gt;'!$B$13,$C40='Defaults &lt;HIDE&gt;'!$B$14),15,IF(NOT($C40=""),10,"")))</f>
        <v/>
      </c>
      <c r="X40" s="694" t="str">
        <f>IF(O40="","",IF(L40='Defaults &lt;HIDE&gt;'!$D$14,'Emission Factors &lt;HIDE&gt;'!$C$190,IF(OR(L40='Defaults &lt;HIDE&gt;'!$D$15,L40='Defaults &lt;HIDE&gt;'!$D$16),'Emission Factors &lt;HIDE&gt;'!$C$191,IF(O40&gt;=2000,'Emission Factors &lt;HIDE&gt;'!$C$189,IF(O40&gt;=200,'Emission Factors &lt;HIDE&gt;'!$C$188,IF(O40&gt;50,'Emission Factors &lt;HIDE&gt;'!$C$187,'Emission Factors &lt;HIDE&gt;'!$C$186))))))</f>
        <v/>
      </c>
      <c r="Y40" s="609" t="str">
        <f>IF(L40="","",IF(OR(L40='Defaults &lt;HIDE&gt;'!$D$15,L40='Defaults &lt;HIDE&gt;'!$D$16),'Emission Factors &lt;HIDE&gt;'!$C$197,IF(O40&lt;=50,'Emission Factors &lt;HIDE&gt;'!$C$195,'Emission Factors &lt;HIDE&gt;'!$C$196)))</f>
        <v/>
      </c>
      <c r="Z40" s="609" t="str">
        <f>IF(Q40="","",IF(L40='Defaults &lt;HIDE&gt;'!$D$15,0,IF(Q40&gt;=2000,'Emission Factors &lt;HIDE&gt;'!$C$189,IF(Q40&gt;=200,'Emission Factors &lt;HIDE&gt;'!$C$188,IF(Q40&gt;=50,'Emission Factors &lt;HIDE&gt;'!$C$187,'Emission Factors &lt;HIDE&gt;'!$C$186)))))</f>
        <v/>
      </c>
      <c r="AA40" s="609" t="str">
        <f>IF(P40="","",IF(L40='Defaults &lt;HIDE&gt;'!$D$15,0,IF(Q40&lt;=50,'Emission Factors &lt;HIDE&gt;'!$C$195,'Emission Factors &lt;HIDE&gt;'!$C$196)))</f>
        <v/>
      </c>
      <c r="AB40" s="709" t="str">
        <f>IF(L40="","",IF(OR($C40='Defaults &lt;HIDE&gt;'!$B$12,$C40='Defaults &lt;HIDE&gt;'!$B$13,$C40='Defaults &lt;HIDE&gt;'!$B$14),15,IF(NOT($C40=""),10,"")))</f>
        <v/>
      </c>
      <c r="AC40" s="705" t="str">
        <f>IF(AND(ISBLANK(F40),J40=""),"",(IFERROR(VLOOKUP(F40,'Emission Factors &lt;HIDE&gt;'!$B$49:$C$170,2,0)*G40*S40*W40,0) + IFERROR(VLOOKUP(I40,'Emission Factors &lt;HIDE&gt;'!$B$49:$C$170,2,0)*J40*U40*W40,0) + IFERROR(VLOOKUP(F40,'Emission Factors &lt;HIDE&gt;'!$B$49:$C$170,2,0)*G40*T40,0) + IFERROR(VLOOKUP(I40,'Emission Factors &lt;HIDE&gt;'!$B$49:$C$170,2,0)*J40*V40,0))/'Definitions -AND- Conversions'!$C$40)</f>
        <v/>
      </c>
      <c r="AD40" s="642" t="str">
        <f>IF(AND(ISBLANK(N40),ISBLANK(P40)),"",(IFERROR(M40*VLOOKUP(N40,'Emission Factors &lt;HIDE&gt;'!$B$49:$C$170,2,0)*O40*X40*AB40,0) + IFERROR(VLOOKUP(P40,'Emission Factors &lt;HIDE&gt;'!$B$49:$C$170,2,0)*Q40*Z40*AB40,0) + IFERROR(M40*VLOOKUP(N40,'Emission Factors &lt;HIDE&gt;'!$B$49:$C$170,2,0)*O40*Y40,0) + IFERROR(VLOOKUP(P40,'Emission Factors &lt;HIDE&gt;'!$B$49:$C$170,2,0)*Q40*AA40,0))/'Definitions -AND- Conversions'!$C$40)</f>
        <v/>
      </c>
      <c r="AE40" s="634" t="str">
        <f>IF(AND(ISBLANK(F40),I40="",ISBLANK(N40),ISBLANK(P40)),"",(IFERROR(VLOOKUP(F40,'Emission Factors &lt;HIDE&gt;'!$B$49:$C$170,2,0)*G40*S40*W40,0) + IFERROR(VLOOKUP(I40,'Emission Factors &lt;HIDE&gt;'!$B$49:$C$170,2,0)*J40*U40*W40,0) - IFERROR(M40*VLOOKUP(N40,'Emission Factors &lt;HIDE&gt;'!$B$49:$C$170,2,0)*O40*X40*AB40,0) - IFERROR(VLOOKUP(P40,'Emission Factors &lt;HIDE&gt;'!$B$49:$C$170,2,0)*Q40*Z40*AB40,0))/'Definitions -AND- Conversions'!$C$40)</f>
        <v/>
      </c>
      <c r="AF40" s="634" t="str">
        <f>IF(AND(ISBLANK(F40),I40="",ISBLANK(N40),ISBLANK(P40)),"",(IFERROR(VLOOKUP(F40,'Emission Factors &lt;HIDE&gt;'!$B$49:$C$170,2,0)*G40*T40,0) + IFERROR(VLOOKUP(I40,'Emission Factors &lt;HIDE&gt;'!$B$49:$C$170,2,0)*J40*V40,0) - IFERROR(M40*VLOOKUP(N40,'Emission Factors &lt;HIDE&gt;'!$B$49:$C$170,2,0)*O40*Y40,0) - IFERROR(VLOOKUP(P40,'Emission Factors &lt;HIDE&gt;'!$B$49:$C$170,2,0)*Q40*AA40,0))/'Definitions -AND- Conversions'!$C$40)</f>
        <v/>
      </c>
      <c r="AG40" s="677"/>
      <c r="AH40" s="672" t="str">
        <f t="shared" si="5"/>
        <v/>
      </c>
      <c r="AI40" s="672" t="str">
        <f t="shared" si="6"/>
        <v/>
      </c>
      <c r="AJ40" s="672" t="str">
        <f t="shared" si="3"/>
        <v/>
      </c>
      <c r="AK40" s="683"/>
    </row>
    <row r="41" spans="1:37" ht="47.25" customHeight="1" thickBot="1" x14ac:dyDescent="0.3">
      <c r="A41" s="20"/>
      <c r="B41" s="652">
        <v>20</v>
      </c>
      <c r="C41" s="653" t="str">
        <f t="shared" si="7"/>
        <v/>
      </c>
      <c r="D41" s="669" t="str">
        <f t="shared" si="4"/>
        <v/>
      </c>
      <c r="E41" s="654"/>
      <c r="F41" s="622"/>
      <c r="G41" s="713"/>
      <c r="H41" s="590"/>
      <c r="I41" s="658" t="str">
        <f>IF(D41='Defaults &lt;HIDE&gt;'!$H$12,'Emission Factors &lt;HIDE&gt;'!$B$103,"")</f>
        <v/>
      </c>
      <c r="J41" s="713"/>
      <c r="K41" s="719"/>
      <c r="L41" s="622"/>
      <c r="M41" s="207"/>
      <c r="N41" s="207"/>
      <c r="O41" s="713"/>
      <c r="P41" s="644"/>
      <c r="Q41" s="716"/>
      <c r="R41" s="691"/>
      <c r="S41" s="696" t="str">
        <f>IF(G41&gt;=2000,'Emission Factors &lt;HIDE&gt;'!$C$189,IF(G41&gt;=200,'Emission Factors &lt;HIDE&gt;'!$C$188,IF(G41&gt;=50,'Emission Factors &lt;HIDE&gt;'!$C$187,"")))</f>
        <v/>
      </c>
      <c r="T41" s="608" t="str">
        <f t="shared" si="0"/>
        <v/>
      </c>
      <c r="U41" s="659" t="str">
        <f t="shared" si="1"/>
        <v/>
      </c>
      <c r="V41" s="608" t="str">
        <f t="shared" si="2"/>
        <v/>
      </c>
      <c r="W41" s="697" t="str">
        <f>IF(AND(F41="",J41=""),"",IF(OR($C41='Defaults &lt;HIDE&gt;'!$B$12,$C41='Defaults &lt;HIDE&gt;'!$B$13,$C41='Defaults &lt;HIDE&gt;'!$B$14),15,IF(NOT($C41=""),10,"")))</f>
        <v/>
      </c>
      <c r="X41" s="696" t="str">
        <f>IF(O41="","",IF(L41='Defaults &lt;HIDE&gt;'!$D$14,'Emission Factors &lt;HIDE&gt;'!$C$190,IF(OR(L41='Defaults &lt;HIDE&gt;'!$D$15,L41='Defaults &lt;HIDE&gt;'!$D$16),'Emission Factors &lt;HIDE&gt;'!$C$191,IF(O41&gt;=2000,'Emission Factors &lt;HIDE&gt;'!$C$189,IF(O41&gt;=200,'Emission Factors &lt;HIDE&gt;'!$C$188,IF(O41&gt;50,'Emission Factors &lt;HIDE&gt;'!$C$187,'Emission Factors &lt;HIDE&gt;'!$C$186))))))</f>
        <v/>
      </c>
      <c r="Y41" s="608" t="str">
        <f>IF(L41="","",IF(OR(L41='Defaults &lt;HIDE&gt;'!$D$15,L41='Defaults &lt;HIDE&gt;'!$D$16),'Emission Factors &lt;HIDE&gt;'!$C$197,IF(O41&lt;=50,'Emission Factors &lt;HIDE&gt;'!$C$195,'Emission Factors &lt;HIDE&gt;'!$C$196)))</f>
        <v/>
      </c>
      <c r="Z41" s="608" t="str">
        <f>IF(Q41="","",IF(L41='Defaults &lt;HIDE&gt;'!$D$15,0,IF(Q41&gt;=2000,'Emission Factors &lt;HIDE&gt;'!$C$189,IF(Q41&gt;=200,'Emission Factors &lt;HIDE&gt;'!$C$188,IF(Q41&gt;=50,'Emission Factors &lt;HIDE&gt;'!$C$187,'Emission Factors &lt;HIDE&gt;'!$C$186)))))</f>
        <v/>
      </c>
      <c r="AA41" s="608" t="str">
        <f>IF(P41="","",IF(L41='Defaults &lt;HIDE&gt;'!$D$15,0,IF(Q41&lt;=50,'Emission Factors &lt;HIDE&gt;'!$C$195,'Emission Factors &lt;HIDE&gt;'!$C$196)))</f>
        <v/>
      </c>
      <c r="AB41" s="710" t="str">
        <f>IF(L41="","",IF(OR($C41='Defaults &lt;HIDE&gt;'!$B$12,$C41='Defaults &lt;HIDE&gt;'!$B$13,$C41='Defaults &lt;HIDE&gt;'!$B$14),15,IF(NOT($C41=""),10,"")))</f>
        <v/>
      </c>
      <c r="AC41" s="706" t="str">
        <f>IF(AND(ISBLANK(F41),J41=""),"",(IFERROR(VLOOKUP(F41,'Emission Factors &lt;HIDE&gt;'!$B$49:$C$170,2,0)*G41*S41*W41,0) + IFERROR(VLOOKUP(I41,'Emission Factors &lt;HIDE&gt;'!$B$49:$C$170,2,0)*J41*U41*W41,0) + IFERROR(VLOOKUP(F41,'Emission Factors &lt;HIDE&gt;'!$B$49:$C$170,2,0)*G41*T41,0) + IFERROR(VLOOKUP(I41,'Emission Factors &lt;HIDE&gt;'!$B$49:$C$170,2,0)*J41*V41,0))/'Definitions -AND- Conversions'!$C$40)</f>
        <v/>
      </c>
      <c r="AD41" s="707" t="str">
        <f>IF(AND(ISBLANK(N41),ISBLANK(P41)),"",(IFERROR(M41*VLOOKUP(N41,'Emission Factors &lt;HIDE&gt;'!$B$49:$C$170,2,0)*O41*X41*AB41,0) + IFERROR(VLOOKUP(P41,'Emission Factors &lt;HIDE&gt;'!$B$49:$C$170,2,0)*Q41*Z41*AB41,0) + IFERROR(M41*VLOOKUP(N41,'Emission Factors &lt;HIDE&gt;'!$B$49:$C$170,2,0)*O41*Y41,0) + IFERROR(VLOOKUP(P41,'Emission Factors &lt;HIDE&gt;'!$B$49:$C$170,2,0)*Q41*AA41,0))/'Definitions -AND- Conversions'!$C$40)</f>
        <v/>
      </c>
      <c r="AE41" s="662" t="str">
        <f>IF(AND(ISBLANK(F41),I41="",ISBLANK(N41),ISBLANK(P41)),"",(IFERROR(VLOOKUP(F41,'Emission Factors &lt;HIDE&gt;'!$B$49:$C$170,2,0)*G41*S41*W41,0) + IFERROR(VLOOKUP(I41,'Emission Factors &lt;HIDE&gt;'!$B$49:$C$170,2,0)*J41*U41*W41,0) - IFERROR(M41*VLOOKUP(N41,'Emission Factors &lt;HIDE&gt;'!$B$49:$C$170,2,0)*O41*X41*AB41,0) - IFERROR(VLOOKUP(P41,'Emission Factors &lt;HIDE&gt;'!$B$49:$C$170,2,0)*Q41*Z41*AB41,0))/'Definitions -AND- Conversions'!$C$40)</f>
        <v/>
      </c>
      <c r="AF41" s="662" t="str">
        <f>IF(AND(ISBLANK(F41),I41="",ISBLANK(N41),ISBLANK(P41)),"",(IFERROR(VLOOKUP(F41,'Emission Factors &lt;HIDE&gt;'!$B$49:$C$170,2,0)*G41*T41,0) + IFERROR(VLOOKUP(I41,'Emission Factors &lt;HIDE&gt;'!$B$49:$C$170,2,0)*J41*V41,0) - IFERROR(M41*VLOOKUP(N41,'Emission Factors &lt;HIDE&gt;'!$B$49:$C$170,2,0)*O41*Y41,0) - IFERROR(VLOOKUP(P41,'Emission Factors &lt;HIDE&gt;'!$B$49:$C$170,2,0)*Q41*AA41,0))/'Definitions -AND- Conversions'!$C$40)</f>
        <v/>
      </c>
      <c r="AG41" s="678"/>
      <c r="AH41" s="701" t="str">
        <f t="shared" si="5"/>
        <v/>
      </c>
      <c r="AI41" s="701" t="str">
        <f t="shared" si="6"/>
        <v/>
      </c>
      <c r="AJ41" s="662" t="str">
        <f t="shared" si="3"/>
        <v/>
      </c>
      <c r="AK41" s="684"/>
    </row>
    <row r="42" spans="1:37" ht="47.25" customHeight="1" thickBot="1" x14ac:dyDescent="0.3">
      <c r="B42" s="647" t="s">
        <v>29</v>
      </c>
      <c r="C42" s="646"/>
      <c r="D42" s="648"/>
      <c r="E42" s="648"/>
      <c r="F42" s="640"/>
      <c r="G42" s="640"/>
      <c r="H42" s="640"/>
      <c r="I42" s="640"/>
      <c r="J42" s="640"/>
      <c r="K42" s="648"/>
      <c r="L42" s="639"/>
      <c r="M42" s="640"/>
      <c r="N42" s="640"/>
      <c r="O42" s="640"/>
      <c r="P42" s="640"/>
      <c r="Q42" s="640"/>
      <c r="R42" s="657"/>
      <c r="S42" s="639"/>
      <c r="T42" s="640"/>
      <c r="U42" s="657"/>
      <c r="V42" s="657"/>
      <c r="W42" s="698"/>
      <c r="X42" s="639"/>
      <c r="Y42" s="640"/>
      <c r="Z42" s="640"/>
      <c r="AA42" s="640"/>
      <c r="AB42" s="698"/>
      <c r="AC42" s="660">
        <f>SUM(AC22:AC41)</f>
        <v>0</v>
      </c>
      <c r="AD42" s="661">
        <f>SUM(AD22:AD41)</f>
        <v>0</v>
      </c>
      <c r="AE42" s="661">
        <f>SUM(AE22:AE41)</f>
        <v>0</v>
      </c>
      <c r="AF42" s="661">
        <f t="shared" ref="AF42:AJ42" si="8">SUM(AF22:AF41)</f>
        <v>0</v>
      </c>
      <c r="AG42" s="670">
        <f>SUM(AG22:AG41)</f>
        <v>0</v>
      </c>
      <c r="AH42" s="702">
        <f t="shared" ref="AH42" si="9">SUM(AH22:AH41)</f>
        <v>0</v>
      </c>
      <c r="AI42" s="700">
        <f t="shared" ref="AI42" si="10">SUM(AI22:AI41)</f>
        <v>0</v>
      </c>
      <c r="AJ42" s="676">
        <f t="shared" si="8"/>
        <v>0</v>
      </c>
      <c r="AK42" s="670">
        <f>SUM(AK22:AK41)</f>
        <v>0</v>
      </c>
    </row>
    <row r="43" spans="1:37" ht="15" customHeight="1" x14ac:dyDescent="0.25"/>
    <row r="44" spans="1:37" ht="15" customHeight="1" x14ac:dyDescent="0.25"/>
    <row r="45" spans="1:37" ht="15" customHeight="1" x14ac:dyDescent="0.25"/>
    <row r="46" spans="1:37" ht="15" customHeight="1" x14ac:dyDescent="0.25"/>
    <row r="47" spans="1:37" ht="15" customHeight="1" x14ac:dyDescent="0.25"/>
    <row r="48" spans="1:37" ht="15" customHeight="1" x14ac:dyDescent="0.25"/>
    <row r="49" ht="15" customHeight="1" x14ac:dyDescent="0.25"/>
    <row r="50" ht="15" customHeight="1" x14ac:dyDescent="0.25"/>
    <row r="51" ht="15" customHeight="1" x14ac:dyDescent="0.25"/>
    <row r="52" ht="15" customHeight="1" x14ac:dyDescent="0.25"/>
  </sheetData>
  <sheetProtection algorithmName="SHA-512" hashValue="TpE4gs/L/X2ovOAufAkThyzgHUWmaZ733NrECc1bSsZj/AyXL5LlREZYoI/2cNgyxFaM7YP+f5D/XqS1dDG1lw==" saltValue="Mj34xKQaOKBw9wUlphhExQ==" spinCount="100000" sheet="1" objects="1" scenarios="1"/>
  <conditionalFormatting sqref="I22:K41">
    <cfRule type="expression" dxfId="91" priority="2">
      <formula>NOT($D22="Yes")</formula>
    </cfRule>
  </conditionalFormatting>
  <conditionalFormatting sqref="U22:V41">
    <cfRule type="expression" dxfId="90" priority="1">
      <formula>NOT($D22="Yes")</formula>
    </cfRule>
  </conditionalFormatting>
  <dataValidations disablePrompts="1" count="12">
    <dataValidation type="decimal" operator="greaterThan" allowBlank="1" showInputMessage="1" showErrorMessage="1" errorTitle="Invalid Input" error="Refrigerant charge must be greater than 50 lb to be eligible for funding." sqref="G22:G41" xr:uid="{00000000-0002-0000-0200-000000000000}">
      <formula1>50</formula1>
    </dataValidation>
    <dataValidation type="decimal" operator="greaterThanOrEqual" allowBlank="1" showErrorMessage="1" errorTitle="Invalid Input" error="Input must be a number greater than 0." promptTitle="Note:" prompt="If the type or size of two or more components vary, an additional row(s) must be used" sqref="M22:M41" xr:uid="{00000000-0002-0000-0200-000001000000}">
      <formula1>0</formula1>
    </dataValidation>
    <dataValidation allowBlank="1" showInputMessage="1" showErrorMessage="1" promptTitle="Note:" prompt="For new facilities, the baseline refrigerant is assumed to be R-407A." sqref="F21" xr:uid="{00000000-0002-0000-0200-000002000000}"/>
    <dataValidation type="decimal" operator="greaterThan" showErrorMessage="1" errorTitle="Invalid Input" error="Value must be greater than 0." promptTitle="Note:" prompt="For New Facility project, use default value._x000a__x000a_For Existing Facility project, assume same as baseline." sqref="Q22:Q41" xr:uid="{00000000-0002-0000-0200-000003000000}">
      <formula1>0</formula1>
    </dataValidation>
    <dataValidation showErrorMessage="1" promptTitle="Note:" prompt="Tier I at Existing: The remaining lifetime must be 15 years less than the age of the system._x000a__x000a_Tier I at New: Assume 15 year life._x000a__x000a_Tier II: Assume 10 year life." sqref="W22:W41 AB22:AD41" xr:uid="{00000000-0002-0000-0200-000004000000}"/>
    <dataValidation showErrorMessage="1" promptTitle="Note:" prompt="For New Facility project, use default value._x000a__x000a_For Existing Facility project, use existing system 3-year (2017-2019) average leak rate as reported to the RMP." sqref="S22:V41" xr:uid="{00000000-0002-0000-0200-000005000000}"/>
    <dataValidation showErrorMessage="1" promptTitle="Note:" prompt="For New Facility project, use default value._x000a__x000a_For Existing Facility project, assume same as baseline." sqref="X22:AA41" xr:uid="{00000000-0002-0000-0200-000006000000}"/>
    <dataValidation type="decimal" operator="greaterThan" showErrorMessage="1" errorTitle="Invalid Input" error="Value must be greater than 0." promptTitle="Note:" prompt="Must first select Project Type" sqref="O22:O41" xr:uid="{00000000-0002-0000-0200-000007000000}">
      <formula1>0</formula1>
    </dataValidation>
    <dataValidation type="decimal" operator="greaterThanOrEqual" allowBlank="1" showInputMessage="1" showErrorMessage="1" errorTitle="Invalid Input" error="Input must be a number greater than 0." sqref="R22:W41 K22:K41 H22:H41" xr:uid="{00000000-0002-0000-0200-000008000000}">
      <formula1>0</formula1>
    </dataValidation>
    <dataValidation type="decimal" operator="greaterThan" allowBlank="1" showInputMessage="1" showErrorMessage="1" errorTitle="Invalid Input" error="Value must be greater than 0." sqref="J22:J41" xr:uid="{386B53D8-ED11-4165-BF07-2E13693B304A}">
      <formula1>0</formula1>
    </dataValidation>
    <dataValidation operator="greaterThan" allowBlank="1" showInputMessage="1" showErrorMessage="1" errorTitle="Invalid Input" error="Refrigerant charge must be greater than 50 lb to be eligible for funding." sqref="I22:I41" xr:uid="{22C05A19-5EBE-44FE-8C06-7FE98DE09072}"/>
    <dataValidation type="decimal" operator="greaterThan" allowBlank="1" showInputMessage="1" showErrorMessage="1" errorTitle="Invalid Input" error="Refrigerant charge must be greater than 50 lb to be eligible for funding." sqref="H22:H41" xr:uid="{4859A8FD-732F-43D9-B25E-DBBCDCB5F792}">
      <formula1>0</formula1>
    </dataValidation>
  </dataValidations>
  <hyperlinks>
    <hyperlink ref="B11" r:id="rId1" tooltip="Quantification Methodology and User Guide" xr:uid="{1475C97F-CD20-4282-9A94-76D73035EED6}"/>
  </hyperlinks>
  <pageMargins left="0.7" right="0.7" top="0.98479166666666662" bottom="0.75" header="0.3" footer="0.3"/>
  <pageSetup scale="44" fitToHeight="0" orientation="landscape" r:id="rId2"/>
  <headerFooter>
    <oddFooter>&amp;L&amp;"Avenir LT Std 55 Roman,Regular"&amp;12&amp;K000000FINAL August 7, 2020&amp;C&amp;"Avenir LT Std 55 Roman,Regular"&amp;12Page &amp;P of &amp;N&amp;R&amp;"Avenir LT Std 55 Roman,Regular"&amp;12&amp;K000000&amp;A</oddFooter>
  </headerFooter>
  <colBreaks count="3" manualBreakCount="3">
    <brk id="11" max="1048575" man="1"/>
    <brk id="23" max="1048575" man="1"/>
    <brk id="33" max="1048575" man="1"/>
  </colBreaks>
  <drawing r:id="rId3"/>
  <extLst>
    <ext xmlns:x14="http://schemas.microsoft.com/office/spreadsheetml/2009/9/main" uri="{78C0D931-6437-407d-A8EE-F0AAD7539E65}">
      <x14:conditionalFormattings>
        <x14:conditionalFormatting xmlns:xm="http://schemas.microsoft.com/office/excel/2006/main">
          <x14:cfRule type="expression" priority="39" id="{B8206A05-8DC5-4BFA-8900-FEF1AE62432F}">
            <xm:f>OR($L22='Defaults &lt;HIDE&gt;'!$D$14,$L22='Defaults &lt;HIDE&gt;'!$D$15)</xm:f>
            <x14:dxf>
              <fill>
                <patternFill>
                  <bgColor theme="9" tint="0.79998168889431442"/>
                </patternFill>
              </fill>
            </x14:dxf>
          </x14:cfRule>
          <xm:sqref>P22:Q41</xm:sqref>
        </x14:conditionalFormatting>
        <x14:conditionalFormatting xmlns:xm="http://schemas.microsoft.com/office/excel/2006/main">
          <x14:cfRule type="expression" priority="3" id="{6634CD09-94E0-4EEF-AE8A-1536CFCD18DB}">
            <xm:f>NOT(OR(C22='Defaults &lt;HIDE&gt;'!$B$12,C22='Defaults &lt;HIDE&gt;'!$B$13,C22='Defaults &lt;HIDE&gt;'!$B$14))</xm:f>
            <x14:dxf>
              <font>
                <color rgb="FFFF0000"/>
              </font>
              <fill>
                <patternFill>
                  <bgColor theme="1"/>
                </patternFill>
              </fill>
            </x14:dxf>
          </x14:cfRule>
          <xm:sqref>D22:D41</xm:sqref>
        </x14:conditionalFormatting>
      </x14:conditionalFormattings>
    </ext>
    <ext xmlns:x14="http://schemas.microsoft.com/office/spreadsheetml/2009/9/main" uri="{CCE6A557-97BC-4b89-ADB6-D9C93CAAB3DF}">
      <x14:dataValidations xmlns:xm="http://schemas.microsoft.com/office/excel/2006/main" disablePrompts="1" count="11">
        <x14:dataValidation type="list" operator="greaterThanOrEqual" allowBlank="1" showInputMessage="1" showErrorMessage="1" errorTitle="Invalid Input" error="Input must be a number greater than 0." xr:uid="{00000000-0002-0000-0200-000009000000}">
          <x14:formula1>
            <xm:f>'Emission Factors &lt;HIDE&gt;'!$B$49:$B$170</xm:f>
          </x14:formula1>
          <xm:sqref>M22:M41</xm:sqref>
        </x14:dataValidation>
        <x14:dataValidation type="list" showInputMessage="1" showErrorMessage="1" promptTitle="Note:" prompt="Selection locks after Baseline Type of Refrigerant is chosen. To change, must delete Baseline Type of Refrigerant." xr:uid="{00000000-0002-0000-0200-00000A000000}">
          <x14:formula1>
            <xm:f>IF($F22="",'Defaults &lt;HIDE&gt;'!$B$11:$B$16,"")</xm:f>
          </x14:formula1>
          <xm:sqref>C22</xm:sqref>
        </x14:dataValidation>
        <x14:dataValidation type="list" showInputMessage="1" showErrorMessage="1" promptTitle="Note:" prompt="Must first select Project Type" xr:uid="{00000000-0002-0000-0200-00000B000000}">
          <x14:formula1>
            <xm:f>IF(C22="","",IF(OR($C22='Defaults &lt;HIDE&gt;'!$B$15,$C22='Defaults &lt;HIDE&gt;'!$B$16),'Defaults &lt;HIDE&gt;'!$G$11:$G$61,'Defaults &lt;HIDE&gt;'!$E$11:$E$33))</xm:f>
          </x14:formula1>
          <xm:sqref>N22:N41</xm:sqref>
        </x14:dataValidation>
        <x14:dataValidation type="list" operator="greaterThan" allowBlank="1" showInputMessage="1" showErrorMessage="1" errorTitle="Invalid Input" error="Refrigerant charge must be greater than 50 lb to be eligible for funding." promptTitle="Note:" prompt="Selection locks after Annual Leakage Rate is identified." xr:uid="{00000000-0002-0000-0200-00000C000000}">
          <x14:formula1>
            <xm:f>'Defaults &lt;HIDE&gt;'!$D$11:$D$16</xm:f>
          </x14:formula1>
          <xm:sqref>M22:M41</xm:sqref>
        </x14:dataValidation>
        <x14:dataValidation type="list" showInputMessage="1" showErrorMessage="1" xr:uid="{00000000-0002-0000-0200-00000D000000}">
          <x14:formula1>
            <xm:f>'Defaults &lt;HIDE&gt;'!$D$11:$D$16</xm:f>
          </x14:formula1>
          <xm:sqref>M22:M41</xm:sqref>
        </x14:dataValidation>
        <x14:dataValidation type="list" showInputMessage="1" showErrorMessage="1" promptTitle="Note:" prompt="Must first select Project Type" xr:uid="{00000000-0002-0000-0200-00000E000000}">
          <x14:formula1>
            <xm:f>IF($C22="","",IF($C22='Defaults &lt;HIDE&gt;'!$B$12,'Emission Factors &lt;HIDE&gt;'!$B$52:$B$53,IF(OR($C22='Defaults &lt;HIDE&gt;'!$B$15,$C22='Defaults &lt;HIDE&gt;'!$B$16),'Defaults &lt;HIDE&gt;'!$F$12:$F$32,'Emission Factors &lt;HIDE&gt;'!$B$49:$B$170)))</xm:f>
          </x14:formula1>
          <xm:sqref>F22:F41</xm:sqref>
        </x14:dataValidation>
        <x14:dataValidation type="list" showInputMessage="1" showErrorMessage="1" xr:uid="{00000000-0002-0000-0200-00000F000000}">
          <x14:formula1>
            <xm:f>IF(OR($C22='Defaults &lt;HIDE&gt;'!$B$15,$C22='Defaults &lt;HIDE&gt;'!$B$16),'Defaults &lt;HIDE&gt;'!$G$11:$G$61,'Defaults &lt;HIDE&gt;'!$E$11:$E$33)</xm:f>
          </x14:formula1>
          <xm:sqref>N22:N41</xm:sqref>
        </x14:dataValidation>
        <x14:dataValidation type="list" operator="greaterThan" showErrorMessage="1" promptTitle="Note:" prompt="Selection locks after Annual Leakage Rate is identified." xr:uid="{00000000-0002-0000-0200-000010000000}">
          <x14:formula1>
            <xm:f>'Defaults &lt;HIDE&gt;'!$D$11:$D$17</xm:f>
          </x14:formula1>
          <xm:sqref>L22:L41</xm:sqref>
        </x14:dataValidation>
        <x14:dataValidation type="list" showInputMessage="1" showErrorMessage="1" xr:uid="{00000000-0002-0000-0200-000011000000}">
          <x14:formula1>
            <xm:f>'Defaults &lt;HIDE&gt;'!$D$11:$D$17</xm:f>
          </x14:formula1>
          <xm:sqref>L22:L41</xm:sqref>
        </x14:dataValidation>
        <x14:dataValidation type="list" allowBlank="1" showInputMessage="1" showErrorMessage="1" xr:uid="{4D502339-F564-43CA-A97F-D32D76B03EB2}">
          <x14:formula1>
            <xm:f>IF(OR(C22='Defaults &lt;HIDE&gt;'!$B$12,C22='Defaults &lt;HIDE&gt;'!$B$13,C22='Defaults &lt;HIDE&gt;'!$B$14),'Defaults &lt;HIDE&gt;'!$H$11:$H$13,'Defaults &lt;HIDE&gt;'!$H$11)</xm:f>
          </x14:formula1>
          <xm:sqref>D22</xm:sqref>
        </x14:dataValidation>
        <x14:dataValidation type="list" showErrorMessage="1" promptTitle="Note:" prompt="For New Facility project, use default value._x000a__x000a_For Existing Facility project, assume same as baseline." xr:uid="{00000000-0002-0000-0200-000012000000}">
          <x14:formula1>
            <xm:f>IF(L22='Defaults &lt;HIDE&gt;'!$D$15,'Emission Factors &lt;HIDE&gt;'!$B$56,IF(OR($C22='Defaults &lt;HIDE&gt;'!$B$15,$C22='Defaults &lt;HIDE&gt;'!$B$16),'Defaults &lt;HIDE&gt;'!$G$11:$G$61,'Defaults &lt;HIDE&gt;'!$E$11:$E$33))</xm:f>
          </x14:formula1>
          <xm:sqref>P22:P41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M64"/>
  <sheetViews>
    <sheetView showGridLines="0" zoomScaleNormal="100" zoomScalePageLayoutView="70" workbookViewId="0"/>
  </sheetViews>
  <sheetFormatPr defaultColWidth="9.140625" defaultRowHeight="15" x14ac:dyDescent="0.25"/>
  <cols>
    <col min="1" max="1" width="2.85546875" style="42" customWidth="1"/>
    <col min="2" max="2" width="91.28515625" style="42" customWidth="1"/>
    <col min="3" max="3" width="17.7109375" style="42" customWidth="1"/>
    <col min="4" max="4" width="31.28515625" style="42" customWidth="1"/>
    <col min="5" max="5" width="60.140625" style="42" customWidth="1"/>
    <col min="6" max="6" width="2.85546875" style="42" customWidth="1"/>
    <col min="7" max="11" width="9.140625" style="42"/>
    <col min="12" max="12" width="9.140625" style="42" customWidth="1"/>
    <col min="13" max="16384" width="9.140625" style="42"/>
  </cols>
  <sheetData>
    <row r="1" spans="1:13" ht="18.75" customHeight="1" x14ac:dyDescent="0.25">
      <c r="A1" s="232"/>
      <c r="B1" s="232"/>
      <c r="C1" s="232"/>
      <c r="D1" s="232"/>
      <c r="E1" s="151"/>
    </row>
    <row r="2" spans="1:13" ht="15" customHeight="1" x14ac:dyDescent="0.25">
      <c r="A2" s="233"/>
      <c r="B2" s="233"/>
      <c r="C2" s="233"/>
      <c r="D2" s="233"/>
      <c r="E2" s="152"/>
    </row>
    <row r="3" spans="1:13" ht="18.75" customHeight="1" x14ac:dyDescent="0.25">
      <c r="A3" s="232"/>
      <c r="B3" s="232"/>
      <c r="C3" s="232"/>
      <c r="D3" s="232"/>
      <c r="E3" s="151"/>
    </row>
    <row r="4" spans="1:13" ht="18.75" customHeight="1" x14ac:dyDescent="0.25">
      <c r="A4" s="234"/>
      <c r="B4" s="234"/>
      <c r="C4" s="234"/>
      <c r="D4" s="234"/>
      <c r="E4" s="153"/>
    </row>
    <row r="5" spans="1:13" ht="15" customHeight="1" x14ac:dyDescent="0.25">
      <c r="A5" s="235"/>
      <c r="B5" s="235"/>
      <c r="C5" s="235"/>
      <c r="D5" s="235"/>
      <c r="E5" s="152"/>
    </row>
    <row r="6" spans="1:13" ht="15" customHeight="1" x14ac:dyDescent="0.25">
      <c r="A6" s="182"/>
      <c r="B6" s="182"/>
      <c r="C6" s="182"/>
      <c r="D6" s="182"/>
      <c r="E6" s="176"/>
    </row>
    <row r="7" spans="1:13" ht="18.75" customHeight="1" x14ac:dyDescent="0.25">
      <c r="A7" s="232"/>
      <c r="B7" s="232"/>
      <c r="C7" s="232"/>
      <c r="D7" s="232"/>
      <c r="E7" s="151"/>
    </row>
    <row r="8" spans="1:13" ht="15" customHeight="1" x14ac:dyDescent="0.25"/>
    <row r="9" spans="1:13" ht="15" customHeight="1" x14ac:dyDescent="0.25">
      <c r="A9" s="71"/>
      <c r="B9" s="161" t="s">
        <v>8</v>
      </c>
      <c r="C9" s="161"/>
      <c r="D9" s="161"/>
      <c r="E9" s="161"/>
      <c r="F9" s="161"/>
    </row>
    <row r="10" spans="1:13" ht="15.75" x14ac:dyDescent="0.25">
      <c r="B10" s="290" t="s">
        <v>475</v>
      </c>
      <c r="C10" s="291"/>
      <c r="D10" s="292"/>
      <c r="E10" s="161"/>
      <c r="F10" s="161"/>
      <c r="G10" s="165"/>
      <c r="H10" s="165"/>
      <c r="L10" s="165"/>
      <c r="M10" s="165"/>
    </row>
    <row r="11" spans="1:13" ht="15.75" x14ac:dyDescent="0.25">
      <c r="B11" s="293" t="s">
        <v>465</v>
      </c>
      <c r="C11" s="294"/>
      <c r="D11" s="295"/>
      <c r="E11" s="161"/>
      <c r="F11" s="161"/>
      <c r="G11" s="165"/>
      <c r="H11" s="165"/>
      <c r="L11" s="165"/>
      <c r="M11" s="165"/>
    </row>
    <row r="12" spans="1:13" ht="15" customHeight="1" x14ac:dyDescent="0.25">
      <c r="B12" s="166"/>
      <c r="C12" s="166"/>
      <c r="D12" s="166"/>
      <c r="E12" s="166"/>
    </row>
    <row r="13" spans="1:13" ht="15.75" x14ac:dyDescent="0.25">
      <c r="A13" s="147"/>
      <c r="B13" s="408" t="s">
        <v>466</v>
      </c>
      <c r="C13" s="406"/>
      <c r="D13" s="406"/>
      <c r="E13" s="407"/>
    </row>
    <row r="14" spans="1:13" ht="15.75" x14ac:dyDescent="0.25">
      <c r="A14" s="147"/>
      <c r="B14" s="409" t="s">
        <v>467</v>
      </c>
      <c r="C14" s="410"/>
      <c r="D14" s="410"/>
      <c r="E14" s="411"/>
    </row>
    <row r="15" spans="1:13" ht="15.75" x14ac:dyDescent="0.25">
      <c r="A15" s="147"/>
      <c r="B15" s="409"/>
      <c r="C15" s="410"/>
      <c r="D15" s="410"/>
      <c r="E15" s="411"/>
    </row>
    <row r="16" spans="1:13" ht="15.75" x14ac:dyDescent="0.25">
      <c r="A16" s="147"/>
      <c r="B16" s="409" t="s">
        <v>468</v>
      </c>
      <c r="C16" s="410"/>
      <c r="D16" s="410"/>
      <c r="E16" s="411"/>
    </row>
    <row r="17" spans="1:5" ht="15.75" x14ac:dyDescent="0.25">
      <c r="A17" s="147"/>
      <c r="B17" s="409" t="s">
        <v>469</v>
      </c>
      <c r="C17" s="410"/>
      <c r="D17" s="410"/>
      <c r="E17" s="411"/>
    </row>
    <row r="18" spans="1:5" ht="15" customHeight="1" x14ac:dyDescent="0.25">
      <c r="A18" s="147"/>
      <c r="B18" s="248" t="s">
        <v>310</v>
      </c>
      <c r="C18" s="246"/>
      <c r="D18" s="246"/>
      <c r="E18" s="247"/>
    </row>
    <row r="19" spans="1:5" ht="15" customHeight="1" x14ac:dyDescent="0.25">
      <c r="A19" s="147"/>
      <c r="B19" s="70"/>
    </row>
    <row r="20" spans="1:5" ht="18.75" customHeight="1" x14ac:dyDescent="0.25">
      <c r="A20" s="147"/>
      <c r="B20" s="218" t="s">
        <v>149</v>
      </c>
      <c r="C20" s="167" t="s">
        <v>60</v>
      </c>
      <c r="D20" s="168" t="s">
        <v>59</v>
      </c>
      <c r="E20" s="168" t="s">
        <v>150</v>
      </c>
    </row>
    <row r="21" spans="1:5" ht="18.75" customHeight="1" x14ac:dyDescent="0.25">
      <c r="A21" s="147"/>
      <c r="B21" s="311" t="s">
        <v>151</v>
      </c>
      <c r="C21" s="311"/>
      <c r="D21" s="311"/>
      <c r="E21" s="311"/>
    </row>
    <row r="22" spans="1:5" ht="35.1" customHeight="1" x14ac:dyDescent="0.25">
      <c r="A22" s="147"/>
      <c r="B22" s="217" t="s">
        <v>62</v>
      </c>
      <c r="C22" s="169" t="s">
        <v>33</v>
      </c>
      <c r="D22" s="14"/>
      <c r="E22" s="583" t="s">
        <v>152</v>
      </c>
    </row>
    <row r="23" spans="1:5" ht="35.1" customHeight="1" x14ac:dyDescent="0.25">
      <c r="A23" s="147"/>
      <c r="B23" s="217" t="s">
        <v>63</v>
      </c>
      <c r="C23" s="169" t="s">
        <v>33</v>
      </c>
      <c r="D23" s="14"/>
      <c r="E23" s="583" t="s">
        <v>153</v>
      </c>
    </row>
    <row r="24" spans="1:5" ht="18.75" customHeight="1" x14ac:dyDescent="0.25">
      <c r="B24" s="218" t="s">
        <v>149</v>
      </c>
      <c r="C24" s="167" t="s">
        <v>60</v>
      </c>
      <c r="D24" s="167" t="s">
        <v>59</v>
      </c>
      <c r="E24" s="167" t="s">
        <v>154</v>
      </c>
    </row>
    <row r="25" spans="1:5" ht="35.1" customHeight="1" x14ac:dyDescent="0.25">
      <c r="B25" s="309" t="s">
        <v>155</v>
      </c>
      <c r="C25" s="310"/>
      <c r="D25" s="310"/>
      <c r="E25" s="310"/>
    </row>
    <row r="26" spans="1:5" ht="72" customHeight="1" x14ac:dyDescent="0.25">
      <c r="A26" s="162"/>
      <c r="B26" s="586" t="s">
        <v>551</v>
      </c>
      <c r="C26" s="169" t="s">
        <v>33</v>
      </c>
      <c r="D26" s="16"/>
      <c r="E26" s="17"/>
    </row>
    <row r="27" spans="1:5" ht="34.5" customHeight="1" x14ac:dyDescent="0.25">
      <c r="A27" s="162"/>
      <c r="B27" s="219" t="s">
        <v>64</v>
      </c>
      <c r="C27" s="169" t="str">
        <f>IF(D23="","No",D23)</f>
        <v>No</v>
      </c>
      <c r="D27" s="14"/>
      <c r="E27" s="18"/>
    </row>
    <row r="28" spans="1:5" ht="35.1" customHeight="1" x14ac:dyDescent="0.25">
      <c r="A28" s="162"/>
      <c r="B28" s="309" t="s">
        <v>156</v>
      </c>
      <c r="C28" s="310"/>
      <c r="D28" s="310"/>
      <c r="E28" s="310"/>
    </row>
    <row r="29" spans="1:5" ht="83.25" customHeight="1" x14ac:dyDescent="0.25">
      <c r="A29" s="170"/>
      <c r="B29" s="219" t="s">
        <v>312</v>
      </c>
      <c r="C29" s="169" t="s">
        <v>33</v>
      </c>
      <c r="D29" s="14"/>
      <c r="E29" s="18"/>
    </row>
    <row r="30" spans="1:5" ht="66.75" customHeight="1" x14ac:dyDescent="0.25">
      <c r="A30" s="171"/>
      <c r="B30" s="214" t="s">
        <v>313</v>
      </c>
      <c r="C30" s="169" t="s">
        <v>33</v>
      </c>
      <c r="D30" s="14"/>
      <c r="E30" s="18"/>
    </row>
    <row r="31" spans="1:5" ht="96.75" customHeight="1" x14ac:dyDescent="0.25">
      <c r="A31" s="164"/>
      <c r="B31" s="587" t="s">
        <v>552</v>
      </c>
      <c r="C31" s="169" t="s">
        <v>33</v>
      </c>
      <c r="D31" s="14"/>
      <c r="E31" s="18"/>
    </row>
    <row r="32" spans="1:5" ht="82.5" customHeight="1" x14ac:dyDescent="0.25">
      <c r="A32" s="164"/>
      <c r="B32" s="586" t="s">
        <v>553</v>
      </c>
      <c r="C32" s="169" t="s">
        <v>33</v>
      </c>
      <c r="D32" s="14"/>
      <c r="E32" s="18"/>
    </row>
    <row r="33" spans="1:5" ht="50.1" customHeight="1" x14ac:dyDescent="0.25">
      <c r="A33" s="164"/>
      <c r="B33" s="309" t="s">
        <v>157</v>
      </c>
      <c r="C33" s="310"/>
      <c r="D33" s="310"/>
      <c r="E33" s="310"/>
    </row>
    <row r="34" spans="1:5" ht="53.25" customHeight="1" x14ac:dyDescent="0.25">
      <c r="A34" s="164"/>
      <c r="B34" s="214" t="s">
        <v>314</v>
      </c>
      <c r="C34" s="169" t="str">
        <f>IF(D22="","No",D22)</f>
        <v>No</v>
      </c>
      <c r="D34" s="14"/>
      <c r="E34" s="18"/>
    </row>
    <row r="35" spans="1:5" ht="53.25" customHeight="1" x14ac:dyDescent="0.25">
      <c r="A35" s="164"/>
      <c r="B35" s="214" t="s">
        <v>315</v>
      </c>
      <c r="C35" s="169" t="str">
        <f>IF(D22="","No",D22)</f>
        <v>No</v>
      </c>
      <c r="D35" s="14"/>
      <c r="E35" s="18"/>
    </row>
    <row r="36" spans="1:5" ht="53.25" customHeight="1" x14ac:dyDescent="0.25">
      <c r="A36" s="164"/>
      <c r="B36" s="214" t="s">
        <v>316</v>
      </c>
      <c r="C36" s="169" t="str">
        <f>IF(D22="","No",D22)</f>
        <v>No</v>
      </c>
      <c r="D36" s="14"/>
      <c r="E36" s="18"/>
    </row>
    <row r="37" spans="1:5" ht="66.75" customHeight="1" x14ac:dyDescent="0.25">
      <c r="A37" s="164"/>
      <c r="B37" s="214" t="s">
        <v>317</v>
      </c>
      <c r="C37" s="169" t="str">
        <f>IF(D22="","No",D22)</f>
        <v>No</v>
      </c>
      <c r="D37" s="14"/>
      <c r="E37" s="18"/>
    </row>
    <row r="38" spans="1:5" ht="35.1" customHeight="1" x14ac:dyDescent="0.25">
      <c r="A38" s="164"/>
      <c r="B38" s="214" t="s">
        <v>318</v>
      </c>
      <c r="C38" s="169" t="str">
        <f>IF(D23="","No",D23)</f>
        <v>No</v>
      </c>
      <c r="D38" s="14"/>
      <c r="E38" s="18"/>
    </row>
    <row r="39" spans="1:5" ht="35.1" customHeight="1" x14ac:dyDescent="0.25">
      <c r="A39" s="164"/>
      <c r="B39" s="215" t="s">
        <v>319</v>
      </c>
      <c r="C39" s="169" t="str">
        <f>IF(D23="","No",D23)</f>
        <v>No</v>
      </c>
      <c r="D39" s="14"/>
      <c r="E39" s="18"/>
    </row>
    <row r="40" spans="1:5" ht="67.5" customHeight="1" x14ac:dyDescent="0.25">
      <c r="A40" s="164"/>
      <c r="B40" s="214" t="s">
        <v>320</v>
      </c>
      <c r="C40" s="169" t="str">
        <f>IF(D23="","No",D23)</f>
        <v>No</v>
      </c>
      <c r="D40" s="14"/>
      <c r="E40" s="18"/>
    </row>
    <row r="41" spans="1:5" ht="15" customHeight="1" x14ac:dyDescent="0.25">
      <c r="A41" s="164"/>
      <c r="B41" s="164"/>
      <c r="C41" s="164"/>
      <c r="D41" s="164"/>
      <c r="E41" s="164"/>
    </row>
    <row r="42" spans="1:5" ht="15" customHeight="1" x14ac:dyDescent="0.25">
      <c r="A42" s="164"/>
      <c r="B42" s="526" t="s">
        <v>158</v>
      </c>
      <c r="C42" s="527"/>
      <c r="D42" s="164"/>
      <c r="E42" s="164"/>
    </row>
    <row r="43" spans="1:5" ht="15" customHeight="1" x14ac:dyDescent="0.25">
      <c r="A43" s="164"/>
      <c r="B43" s="524" t="s">
        <v>65</v>
      </c>
      <c r="C43" s="525" t="str">
        <f>IF(OR(NOT(OR(D26="", D26="No")), D27="Yes"), "Yes", "No")</f>
        <v>No</v>
      </c>
      <c r="D43" s="164"/>
      <c r="E43" s="164"/>
    </row>
    <row r="44" spans="1:5" ht="15" customHeight="1" x14ac:dyDescent="0.25">
      <c r="A44" s="172"/>
      <c r="B44" s="216" t="s">
        <v>66</v>
      </c>
      <c r="C44" s="173" t="str">
        <f>IF(OR(D29="Yes",D30="Yes",D31="Yes",D32="Yes"),"Yes","No")</f>
        <v>No</v>
      </c>
      <c r="D44" s="172"/>
      <c r="E44" s="172"/>
    </row>
    <row r="45" spans="1:5" ht="15" customHeight="1" x14ac:dyDescent="0.25">
      <c r="A45" s="70"/>
      <c r="B45" s="216" t="s">
        <v>67</v>
      </c>
      <c r="C45" s="174" t="str">
        <f>IF(OR(D34="Yes",D35="Yes",D36="Yes",D37="Yes",D38="Yes",D39="Yes",D40="Yes"),"Yes","No")</f>
        <v>No</v>
      </c>
      <c r="D45" s="70"/>
      <c r="E45" s="70"/>
    </row>
    <row r="46" spans="1:5" ht="15" customHeight="1" x14ac:dyDescent="0.25">
      <c r="A46" s="70"/>
      <c r="B46" s="213" t="s">
        <v>159</v>
      </c>
      <c r="C46" s="175" t="str">
        <f>IF(AND(C43="Yes", C44="Yes", C45="Yes"),"Yes", "No")</f>
        <v>No</v>
      </c>
      <c r="D46" s="70"/>
      <c r="E46" s="70"/>
    </row>
    <row r="47" spans="1:5" ht="15" customHeight="1" x14ac:dyDescent="0.25">
      <c r="A47" s="70"/>
      <c r="B47" s="70"/>
      <c r="C47" s="70"/>
      <c r="D47" s="70"/>
      <c r="E47" s="70"/>
    </row>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sheetData>
  <conditionalFormatting sqref="E34:E40 D26:E27">
    <cfRule type="expression" dxfId="87" priority="30">
      <formula>$C26="No"</formula>
    </cfRule>
  </conditionalFormatting>
  <conditionalFormatting sqref="B27">
    <cfRule type="expression" dxfId="86" priority="28">
      <formula>C27="No"</formula>
    </cfRule>
  </conditionalFormatting>
  <conditionalFormatting sqref="B29:B32">
    <cfRule type="expression" dxfId="85" priority="27">
      <formula>C29="No"</formula>
    </cfRule>
  </conditionalFormatting>
  <conditionalFormatting sqref="B26">
    <cfRule type="expression" dxfId="84" priority="31">
      <formula>C26="No"</formula>
    </cfRule>
  </conditionalFormatting>
  <conditionalFormatting sqref="D29:E32">
    <cfRule type="expression" dxfId="83" priority="32">
      <formula>$C29="No"</formula>
    </cfRule>
  </conditionalFormatting>
  <conditionalFormatting sqref="D23">
    <cfRule type="expression" dxfId="82" priority="33">
      <formula>#REF!="No"</formula>
    </cfRule>
  </conditionalFormatting>
  <conditionalFormatting sqref="E29:E32">
    <cfRule type="expression" dxfId="81" priority="16">
      <formula>D29="No"</formula>
    </cfRule>
  </conditionalFormatting>
  <conditionalFormatting sqref="D34">
    <cfRule type="expression" dxfId="80" priority="15">
      <formula>$C34="No"</formula>
    </cfRule>
  </conditionalFormatting>
  <conditionalFormatting sqref="D35">
    <cfRule type="expression" dxfId="79" priority="8">
      <formula>$C35="No"</formula>
    </cfRule>
  </conditionalFormatting>
  <conditionalFormatting sqref="D36">
    <cfRule type="expression" dxfId="78" priority="7">
      <formula>$C36="No"</formula>
    </cfRule>
  </conditionalFormatting>
  <conditionalFormatting sqref="D37">
    <cfRule type="expression" dxfId="77" priority="6">
      <formula>$C37="No"</formula>
    </cfRule>
  </conditionalFormatting>
  <conditionalFormatting sqref="D38">
    <cfRule type="expression" dxfId="76" priority="5">
      <formula>$C38="No"</formula>
    </cfRule>
  </conditionalFormatting>
  <conditionalFormatting sqref="D39">
    <cfRule type="expression" dxfId="75" priority="4">
      <formula>$C39="No"</formula>
    </cfRule>
  </conditionalFormatting>
  <conditionalFormatting sqref="D40">
    <cfRule type="expression" dxfId="74" priority="3">
      <formula>$C40="No"</formula>
    </cfRule>
  </conditionalFormatting>
  <conditionalFormatting sqref="D22">
    <cfRule type="expression" dxfId="73" priority="2">
      <formula>#REF!="No"</formula>
    </cfRule>
  </conditionalFormatting>
  <conditionalFormatting sqref="E22:E23">
    <cfRule type="expression" dxfId="72" priority="1">
      <formula>NOT($D22="Yes")</formula>
    </cfRule>
  </conditionalFormatting>
  <hyperlinks>
    <hyperlink ref="B26" r:id="rId1" display="Is the project located within a disadvantaged community census tract, low-income community, both disadvantaged and low-income community, buffer region, or none of the above? Use the 1550 mapping tool abailable at: https://www.arb.ca.gov/cc/capandtrade/auc" xr:uid="{00000000-0004-0000-0300-000000000000}"/>
    <hyperlink ref="E23" r:id="rId2" tooltip="Job Training and Workforce Development Criteria Table" xr:uid="{00000000-0004-0000-0300-000001000000}"/>
    <hyperlink ref="E22" r:id="rId3" tooltip="Energy Efficiency and Renewable Energy Criteria Table" xr:uid="{00000000-0004-0000-0300-000002000000}"/>
    <hyperlink ref="B31" r:id="rId4" tooltip="Link to CalEnviroScreen 3.0" display="https://oehha.ca.gov/calenviroscreen/report/calenviroscreen-30" xr:uid="{00000000-0004-0000-0300-000003000000}"/>
    <hyperlink ref="B32" r:id="rId5" tooltip="Link to CARB Funding Guidelines" display="https://www.arb.ca.gov/cc/capandtrade/auctionproceeds/2018-funding-guidelines.pdf" xr:uid="{00000000-0004-0000-0300-000004000000}"/>
    <hyperlink ref="B18" r:id="rId6" display="www.arb.ca.gov/cci-resources." xr:uid="{00000000-0004-0000-0300-000005000000}"/>
    <hyperlink ref="B26" r:id="rId7" tooltip="Link to AB 1550 Mapping Tool" xr:uid="{00000000-0004-0000-0300-000006000000}"/>
    <hyperlink ref="B18:E18" r:id="rId8" tooltip="Link to California Climate Investments Resources Page" display="http://www.arb.ca.gov/cci-resources." xr:uid="{00000000-0004-0000-0300-000007000000}"/>
    <hyperlink ref="B11" r:id="rId9" tooltip="Link to User Guide" xr:uid="{00000000-0004-0000-0300-000008000000}"/>
  </hyperlinks>
  <pageMargins left="0.7" right="0.7" top="0.98479166666666662" bottom="0.75" header="0.3" footer="0.3"/>
  <pageSetup scale="43" fitToHeight="0" orientation="portrait" r:id="rId10"/>
  <headerFooter>
    <oddHeader>&amp;C&amp;G</oddHeader>
    <oddFooter>&amp;L&amp;"Avenir LT Std 55 Roman,Regular"&amp;12&amp;K000000DRAFT June 19, 2020&amp;C&amp;"Avenir LT Std 55 Roman,Regular"&amp;12Page &amp;P of &amp;N&amp;R&amp;"Avenir LT Std 55 Roman,Regular"&amp;12&amp;K000000&amp;A</oddFooter>
  </headerFooter>
  <drawing r:id="rId11"/>
  <legacyDrawingHF r:id="rId1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'Defaults &lt;HIDE&gt;'!$H$12:$H$13</xm:f>
          </x14:formula1>
          <xm:sqref>D22:D23 D26:D27 D34:D40 D29:D32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sheetPr>
  <dimension ref="B1:X161"/>
  <sheetViews>
    <sheetView showGridLines="0" zoomScaleNormal="100" workbookViewId="0"/>
  </sheetViews>
  <sheetFormatPr defaultColWidth="9.140625" defaultRowHeight="15" x14ac:dyDescent="0.25"/>
  <cols>
    <col min="1" max="1" width="4.28515625" style="9" customWidth="1"/>
    <col min="2" max="2" width="118.42578125" style="9" customWidth="1"/>
    <col min="3" max="5" width="22.42578125" style="9" customWidth="1"/>
    <col min="6" max="6" width="19.42578125" style="9" customWidth="1"/>
    <col min="7" max="7" width="16.85546875" style="9" customWidth="1"/>
    <col min="8" max="8" width="14.140625" style="9" customWidth="1"/>
    <col min="9" max="9" width="31.7109375" style="9" customWidth="1"/>
    <col min="10" max="16384" width="9.140625" style="9"/>
  </cols>
  <sheetData>
    <row r="1" spans="2:24" ht="18.75" customHeight="1" x14ac:dyDescent="0.25">
      <c r="B1" s="22"/>
      <c r="C1" s="22"/>
    </row>
    <row r="2" spans="2:24" ht="15" customHeight="1" x14ac:dyDescent="0.25">
      <c r="B2" s="23"/>
      <c r="C2" s="23"/>
    </row>
    <row r="3" spans="2:24" ht="18.75" customHeight="1" x14ac:dyDescent="0.25">
      <c r="B3" s="22"/>
      <c r="C3" s="22"/>
    </row>
    <row r="4" spans="2:24" ht="18.75" customHeight="1" x14ac:dyDescent="0.25">
      <c r="B4" s="236"/>
      <c r="C4" s="236"/>
    </row>
    <row r="5" spans="2:24" ht="15" customHeight="1" x14ac:dyDescent="0.25">
      <c r="B5" s="237"/>
      <c r="C5" s="237"/>
    </row>
    <row r="6" spans="2:24" ht="15" customHeight="1" x14ac:dyDescent="0.25">
      <c r="B6" s="181"/>
      <c r="C6" s="181"/>
    </row>
    <row r="7" spans="2:24" ht="18.75" customHeight="1" x14ac:dyDescent="0.25">
      <c r="B7" s="22"/>
      <c r="C7" s="22"/>
    </row>
    <row r="8" spans="2:24" ht="15" customHeight="1" x14ac:dyDescent="0.25"/>
    <row r="9" spans="2:24" ht="18.75" x14ac:dyDescent="0.25">
      <c r="B9" s="529" t="s">
        <v>12</v>
      </c>
      <c r="C9" s="664"/>
      <c r="D9" s="664"/>
      <c r="E9" s="665"/>
    </row>
    <row r="10" spans="2:24" ht="18.75" customHeight="1" x14ac:dyDescent="0.25">
      <c r="B10" s="528" t="s">
        <v>13</v>
      </c>
      <c r="C10" s="663" t="str">
        <f>IF('Project Info'!D21="","",'Project Info'!D21)</f>
        <v/>
      </c>
      <c r="D10" s="625"/>
      <c r="E10" s="623"/>
    </row>
    <row r="11" spans="2:24" ht="18.75" customHeight="1" x14ac:dyDescent="0.25">
      <c r="B11" s="238" t="s">
        <v>666</v>
      </c>
      <c r="C11" s="624">
        <f>'Project Info'!D29</f>
        <v>0</v>
      </c>
      <c r="D11" s="625"/>
      <c r="E11" s="623"/>
    </row>
    <row r="12" spans="2:24" ht="18.75" customHeight="1" x14ac:dyDescent="0.25">
      <c r="B12" s="238" t="s">
        <v>14</v>
      </c>
      <c r="C12" s="624">
        <f>IFERROR(C13-C11,"")</f>
        <v>0</v>
      </c>
      <c r="D12" s="625"/>
      <c r="E12" s="623"/>
    </row>
    <row r="13" spans="2:24" ht="18.75" customHeight="1" x14ac:dyDescent="0.25">
      <c r="B13" s="238" t="s">
        <v>636</v>
      </c>
      <c r="C13" s="624">
        <f>'Project Info'!D30</f>
        <v>0</v>
      </c>
      <c r="D13" s="625"/>
      <c r="E13" s="623"/>
    </row>
    <row r="14" spans="2:24" ht="15.75" x14ac:dyDescent="0.25">
      <c r="B14" s="48"/>
      <c r="C14" s="48"/>
      <c r="D14" s="37"/>
      <c r="E14" s="37"/>
      <c r="F14" s="37"/>
      <c r="G14" s="37"/>
      <c r="H14" s="37"/>
      <c r="I14" s="37"/>
      <c r="J14" s="37"/>
      <c r="K14" s="37"/>
      <c r="L14" s="37"/>
      <c r="M14" s="37"/>
      <c r="N14" s="37"/>
      <c r="O14" s="37"/>
      <c r="P14" s="37"/>
      <c r="Q14" s="37"/>
      <c r="R14" s="37"/>
      <c r="S14" s="37"/>
      <c r="T14" s="37"/>
      <c r="U14" s="37"/>
      <c r="V14" s="38"/>
      <c r="W14" s="38"/>
      <c r="X14" s="37"/>
    </row>
    <row r="15" spans="2:24" ht="18.75" x14ac:dyDescent="0.25">
      <c r="B15" s="529" t="s">
        <v>309</v>
      </c>
      <c r="C15" s="664"/>
      <c r="D15" s="664"/>
      <c r="E15" s="665"/>
      <c r="F15" s="37"/>
      <c r="G15" s="37"/>
      <c r="H15" s="37"/>
    </row>
    <row r="16" spans="2:24" ht="18.75" customHeight="1" x14ac:dyDescent="0.25">
      <c r="B16" s="530" t="s">
        <v>632</v>
      </c>
      <c r="C16" s="626" t="str">
        <f>IF(C11=0,"Missing Funding Inputs",IFERROR('Calculations &lt;HIDE&gt;'!$E$12,""))</f>
        <v>Missing Funding Inputs</v>
      </c>
      <c r="D16" s="629"/>
      <c r="E16" s="630"/>
      <c r="F16" s="37"/>
      <c r="G16" s="37"/>
      <c r="H16" s="37"/>
    </row>
    <row r="17" spans="2:8" ht="18.75" customHeight="1" x14ac:dyDescent="0.25">
      <c r="B17" s="241" t="s">
        <v>665</v>
      </c>
      <c r="C17" s="626" t="str">
        <f>IF(C11=0,"Missing Funding Inputs",IFERROR(C11/C16,""))</f>
        <v>Missing Funding Inputs</v>
      </c>
      <c r="D17" s="629"/>
      <c r="E17" s="630"/>
      <c r="F17" s="37"/>
      <c r="G17" s="37"/>
      <c r="H17" s="37"/>
    </row>
    <row r="18" spans="2:8" ht="18.75" customHeight="1" x14ac:dyDescent="0.25">
      <c r="B18" s="530" t="s">
        <v>635</v>
      </c>
      <c r="C18" s="626" t="str">
        <f>IF(C11=0,"Missing Funding Inputs",IFERROR(C13/C16,""))</f>
        <v>Missing Funding Inputs</v>
      </c>
      <c r="D18" s="629"/>
      <c r="E18" s="630"/>
      <c r="F18" s="37"/>
      <c r="G18" s="37"/>
      <c r="H18" s="37"/>
    </row>
    <row r="19" spans="2:8" ht="18.75" customHeight="1" x14ac:dyDescent="0.25">
      <c r="B19" s="530" t="s">
        <v>633</v>
      </c>
      <c r="C19" s="626" t="str">
        <f>IF(C11=0,"Missing Funding Inputs",IFERROR('Calculations &lt;HIDE&gt;'!$D$16,""))</f>
        <v>Missing Funding Inputs</v>
      </c>
      <c r="D19" s="629"/>
      <c r="E19" s="630"/>
      <c r="F19" s="37"/>
      <c r="G19" s="37"/>
      <c r="H19" s="37"/>
    </row>
    <row r="20" spans="2:8" s="50" customFormat="1" ht="18.75" hidden="1" customHeight="1" x14ac:dyDescent="0.25">
      <c r="B20" s="530" t="s">
        <v>368</v>
      </c>
      <c r="C20" s="626" t="str">
        <f>IF(C11=0,"Missing Funding Inputs",IFERROR(C21,""))</f>
        <v>Missing Funding Inputs</v>
      </c>
      <c r="D20" s="627"/>
      <c r="E20" s="628"/>
      <c r="F20" s="49"/>
      <c r="G20" s="49"/>
      <c r="H20" s="49"/>
    </row>
    <row r="21" spans="2:8" s="50" customFormat="1" ht="18.75" customHeight="1" x14ac:dyDescent="0.25">
      <c r="B21" s="239" t="s">
        <v>634</v>
      </c>
      <c r="C21" s="631" t="str">
        <f>IF(C11=0,"Missing Funding Inputs",IFERROR('Calculations &lt;HIDE&gt;'!$C$19,""))</f>
        <v>Missing Funding Inputs</v>
      </c>
      <c r="D21" s="636"/>
      <c r="E21" s="637"/>
      <c r="F21" s="49"/>
      <c r="G21" s="49"/>
      <c r="H21" s="49"/>
    </row>
    <row r="22" spans="2:8" s="50" customFormat="1" ht="18.75" customHeight="1" x14ac:dyDescent="0.25">
      <c r="B22" s="241" t="s">
        <v>664</v>
      </c>
      <c r="C22" s="626" t="str">
        <f>IF(C11=0,"Missing Funding Inputs",IFERROR(C11/C21,""))</f>
        <v>Missing Funding Inputs</v>
      </c>
      <c r="D22" s="627"/>
      <c r="E22" s="628"/>
      <c r="F22" s="49"/>
      <c r="G22" s="49"/>
      <c r="H22" s="49"/>
    </row>
    <row r="23" spans="2:8" s="50" customFormat="1" ht="18.75" hidden="1" x14ac:dyDescent="0.25">
      <c r="B23" s="240" t="s">
        <v>321</v>
      </c>
      <c r="C23" s="631" t="str">
        <f>IFERROR(C21/C13*1000000,"")</f>
        <v/>
      </c>
      <c r="D23" s="636"/>
      <c r="E23" s="637"/>
      <c r="F23" s="49"/>
      <c r="G23" s="49"/>
      <c r="H23" s="49"/>
    </row>
    <row r="24" spans="2:8" ht="15" customHeight="1" x14ac:dyDescent="0.25">
      <c r="B24" s="15"/>
      <c r="C24" s="345"/>
      <c r="D24" s="37"/>
      <c r="E24" s="37"/>
      <c r="F24" s="37"/>
      <c r="G24" s="37"/>
      <c r="H24" s="37"/>
    </row>
    <row r="25" spans="2:8" ht="18.75" customHeight="1" x14ac:dyDescent="0.25">
      <c r="B25" s="534" t="s">
        <v>15</v>
      </c>
      <c r="C25" s="535"/>
      <c r="D25" s="535"/>
      <c r="E25" s="536"/>
      <c r="F25" s="37"/>
      <c r="G25" s="37"/>
      <c r="H25" s="37"/>
    </row>
    <row r="26" spans="2:8" ht="18.75" customHeight="1" x14ac:dyDescent="0.25">
      <c r="B26" s="531"/>
      <c r="C26" s="532"/>
      <c r="D26" s="532"/>
      <c r="E26" s="533" t="s">
        <v>410</v>
      </c>
      <c r="F26" s="37"/>
      <c r="G26" s="37"/>
      <c r="H26" s="37"/>
    </row>
    <row r="27" spans="2:8" ht="18.75" customHeight="1" x14ac:dyDescent="0.25">
      <c r="B27" s="303" t="s">
        <v>39</v>
      </c>
      <c r="C27" s="306" t="str">
        <f>IFERROR(C35*'Project Info'!$D$29/SUM('Project Info'!$D$29:$D$29),"")</f>
        <v/>
      </c>
      <c r="D27" s="307"/>
      <c r="E27" s="308"/>
      <c r="F27" s="37"/>
      <c r="G27" s="37"/>
      <c r="H27" s="37"/>
    </row>
    <row r="28" spans="2:8" ht="18.75" customHeight="1" x14ac:dyDescent="0.25">
      <c r="B28" s="223" t="s">
        <v>40</v>
      </c>
      <c r="C28" s="300" t="str">
        <f>IFERROR(C36*'Project Info'!$D$29/SUM('Project Info'!$D$29:$D$29),"")</f>
        <v/>
      </c>
      <c r="D28" s="301"/>
      <c r="E28" s="302"/>
      <c r="F28" s="37"/>
      <c r="G28" s="37"/>
      <c r="H28" s="37"/>
    </row>
    <row r="29" spans="2:8" ht="18.75" customHeight="1" x14ac:dyDescent="0.25">
      <c r="B29" s="220" t="s">
        <v>181</v>
      </c>
      <c r="C29" s="296" t="s">
        <v>182</v>
      </c>
      <c r="D29" s="296" t="s">
        <v>183</v>
      </c>
      <c r="E29" s="296" t="s">
        <v>29</v>
      </c>
      <c r="F29" s="37"/>
      <c r="G29" s="37"/>
      <c r="H29" s="37"/>
    </row>
    <row r="30" spans="2:8" ht="18.75" customHeight="1" x14ac:dyDescent="0.25">
      <c r="B30" s="221" t="s">
        <v>322</v>
      </c>
      <c r="C30" s="52" t="str">
        <f>IFERROR(C38*'Project Info'!$D$29/SUM('Project Info'!$D$29:$D$29),"")</f>
        <v/>
      </c>
      <c r="D30" s="52" t="str">
        <f>IFERROR(D38*'Project Info'!$D$29/SUM('Project Info'!$D$29:$D$29),"")</f>
        <v/>
      </c>
      <c r="E30" s="52" t="str">
        <f>IFERROR(E38*'Project Info'!$D$29/SUM('Project Info'!$D$29:$D$29),"")</f>
        <v/>
      </c>
      <c r="F30" s="37"/>
      <c r="G30" s="37"/>
      <c r="H30" s="37"/>
    </row>
    <row r="31" spans="2:8" ht="18.75" customHeight="1" x14ac:dyDescent="0.25">
      <c r="B31" s="221" t="s">
        <v>16</v>
      </c>
      <c r="C31" s="52" t="str">
        <f>IFERROR(C39*'Project Info'!$D$29/SUM('Project Info'!$D$29:$D$29),"")</f>
        <v/>
      </c>
      <c r="D31" s="52" t="str">
        <f>IFERROR(D39*'Project Info'!$D$29/SUM('Project Info'!$D$29:$D$29),"")</f>
        <v/>
      </c>
      <c r="E31" s="52" t="str">
        <f>IFERROR(E39*'Project Info'!$D$29/SUM('Project Info'!$D$29:$D$29),"")</f>
        <v/>
      </c>
      <c r="F31" s="37"/>
      <c r="G31" s="37"/>
      <c r="H31" s="37"/>
    </row>
    <row r="32" spans="2:8" ht="18.75" customHeight="1" x14ac:dyDescent="0.25">
      <c r="B32" s="221" t="s">
        <v>323</v>
      </c>
      <c r="C32" s="52" t="str">
        <f>IFERROR(C40*'Project Info'!$D$29/SUM('Project Info'!$D$29:$D$29),"")</f>
        <v/>
      </c>
      <c r="D32" s="52" t="str">
        <f>IFERROR(D40*'Project Info'!$D$29/SUM('Project Info'!$D$29:$D$29),"")</f>
        <v/>
      </c>
      <c r="E32" s="52" t="str">
        <f>IFERROR(E40*'Project Info'!$D$29/SUM('Project Info'!$D$29:$D$29),"")</f>
        <v/>
      </c>
      <c r="F32" s="37"/>
      <c r="G32" s="37"/>
      <c r="H32" s="37"/>
    </row>
    <row r="33" spans="2:8" ht="18.75" hidden="1" customHeight="1" x14ac:dyDescent="0.25">
      <c r="B33" s="221" t="s">
        <v>542</v>
      </c>
      <c r="C33" s="52" t="str">
        <f>IFERROR(C41*'Project Info'!$D$29/SUM('Project Info'!$D$29:$D$29),"")</f>
        <v/>
      </c>
      <c r="D33" s="52" t="str">
        <f>IFERROR(D41*'Project Info'!$D$29/SUM('Project Info'!$D$29:$D$29),"")</f>
        <v/>
      </c>
      <c r="E33" s="52" t="str">
        <f>IFERROR(E41*'Project Info'!$D$29/SUM('Project Info'!$D$29:$D$29),"")</f>
        <v/>
      </c>
      <c r="F33" s="37"/>
      <c r="G33" s="37"/>
      <c r="H33" s="37"/>
    </row>
    <row r="34" spans="2:8" ht="18.75" hidden="1" customHeight="1" x14ac:dyDescent="0.25">
      <c r="B34" s="245"/>
      <c r="C34" s="304"/>
      <c r="D34" s="304"/>
      <c r="E34" s="305" t="s">
        <v>180</v>
      </c>
      <c r="F34" s="37"/>
      <c r="G34" s="37"/>
      <c r="H34" s="37"/>
    </row>
    <row r="35" spans="2:8" ht="18.75" hidden="1" customHeight="1" x14ac:dyDescent="0.25">
      <c r="B35" s="303" t="s">
        <v>39</v>
      </c>
      <c r="C35" s="297" t="str">
        <f>IF('Calculations &lt;HIDE&gt;'!C28=0,"",IFERROR('Calculations &lt;HIDE&gt;'!C28,""))</f>
        <v/>
      </c>
      <c r="D35" s="298"/>
      <c r="E35" s="299"/>
      <c r="F35" s="37"/>
      <c r="G35" s="37"/>
      <c r="H35" s="37"/>
    </row>
    <row r="36" spans="2:8" ht="18.75" hidden="1" customHeight="1" x14ac:dyDescent="0.25">
      <c r="B36" s="223" t="s">
        <v>40</v>
      </c>
      <c r="C36" s="300" t="str">
        <f>IF('Calculations &lt;HIDE&gt;'!C29=0,"",IFERROR('Calculations &lt;HIDE&gt;'!C29,""))</f>
        <v/>
      </c>
      <c r="D36" s="301"/>
      <c r="E36" s="302"/>
      <c r="F36" s="37"/>
      <c r="G36" s="37"/>
      <c r="H36" s="37"/>
    </row>
    <row r="37" spans="2:8" ht="18.75" hidden="1" customHeight="1" x14ac:dyDescent="0.25">
      <c r="B37" s="220" t="s">
        <v>181</v>
      </c>
      <c r="C37" s="296" t="s">
        <v>182</v>
      </c>
      <c r="D37" s="296" t="s">
        <v>183</v>
      </c>
      <c r="E37" s="296" t="s">
        <v>29</v>
      </c>
      <c r="F37" s="37"/>
      <c r="G37" s="37"/>
      <c r="H37" s="37"/>
    </row>
    <row r="38" spans="2:8" ht="18.75" hidden="1" customHeight="1" x14ac:dyDescent="0.25">
      <c r="B38" s="221" t="s">
        <v>322</v>
      </c>
      <c r="C38" s="52" t="str">
        <f>IF('Calculations &lt;HIDE&gt;'!C22=0,"",IFERROR('Calculations &lt;HIDE&gt;'!C22,""))</f>
        <v/>
      </c>
      <c r="D38" s="52" t="str">
        <f>IF('Calculations &lt;HIDE&gt;'!D22=0,"",IFERROR('Calculations &lt;HIDE&gt;'!D22,""))</f>
        <v/>
      </c>
      <c r="E38" s="52" t="str">
        <f>IF('Calculations &lt;HIDE&gt;'!E22=0,"",IFERROR('Calculations &lt;HIDE&gt;'!E22,""))</f>
        <v/>
      </c>
      <c r="F38" s="37"/>
      <c r="G38" s="37"/>
      <c r="H38" s="37"/>
    </row>
    <row r="39" spans="2:8" ht="18.75" hidden="1" customHeight="1" x14ac:dyDescent="0.25">
      <c r="B39" s="221" t="s">
        <v>16</v>
      </c>
      <c r="C39" s="52" t="str">
        <f>IF('Calculations &lt;HIDE&gt;'!C21=0,"",IFERROR('Calculations &lt;HIDE&gt;'!C21,""))</f>
        <v/>
      </c>
      <c r="D39" s="52" t="str">
        <f>IF('Calculations &lt;HIDE&gt;'!D21=0,"",IFERROR('Calculations &lt;HIDE&gt;'!D21,""))</f>
        <v/>
      </c>
      <c r="E39" s="52" t="str">
        <f>IF('Calculations &lt;HIDE&gt;'!E21=0,"",IFERROR('Calculations &lt;HIDE&gt;'!E21,""))</f>
        <v/>
      </c>
      <c r="F39" s="37"/>
      <c r="G39" s="37"/>
      <c r="H39" s="37"/>
    </row>
    <row r="40" spans="2:8" ht="18.75" hidden="1" customHeight="1" x14ac:dyDescent="0.25">
      <c r="B40" s="221" t="s">
        <v>323</v>
      </c>
      <c r="C40" s="52" t="str">
        <f>IF('Calculations &lt;HIDE&gt;'!C23=0,"",IFERROR('Calculations &lt;HIDE&gt;'!C23,""))</f>
        <v/>
      </c>
      <c r="D40" s="52" t="str">
        <f>IF('Calculations &lt;HIDE&gt;'!D23=0,"",IFERROR('Calculations &lt;HIDE&gt;'!D23,""))</f>
        <v/>
      </c>
      <c r="E40" s="52" t="str">
        <f>IF('Calculations &lt;HIDE&gt;'!E23=0,"",IFERROR('Calculations &lt;HIDE&gt;'!E23,""))</f>
        <v/>
      </c>
      <c r="F40" s="37"/>
      <c r="G40" s="37"/>
      <c r="H40" s="37"/>
    </row>
    <row r="41" spans="2:8" ht="18.75" hidden="1" customHeight="1" x14ac:dyDescent="0.25">
      <c r="B41" s="221" t="s">
        <v>542</v>
      </c>
      <c r="C41" s="52" t="str">
        <f>IF('Calculations &lt;HIDE&gt;'!C25=0,"",IFERROR('Calculations &lt;HIDE&gt;'!C25,""))</f>
        <v/>
      </c>
      <c r="D41" s="52" t="str">
        <f>IF('Calculations &lt;HIDE&gt;'!D25=0,"",IFERROR('Calculations &lt;HIDE&gt;'!D25,""))</f>
        <v/>
      </c>
      <c r="E41" s="52" t="str">
        <f>IF('Calculations &lt;HIDE&gt;'!E25=0,"",IFERROR('Calculations &lt;HIDE&gt;'!E25,""))</f>
        <v/>
      </c>
      <c r="F41" s="37"/>
      <c r="G41" s="37"/>
      <c r="H41" s="37"/>
    </row>
    <row r="42" spans="2:8" ht="15" customHeight="1" x14ac:dyDescent="0.25">
      <c r="B42" s="21"/>
      <c r="C42" s="21"/>
      <c r="D42" s="21"/>
      <c r="E42" s="30"/>
      <c r="F42" s="37"/>
      <c r="G42" s="37"/>
      <c r="H42" s="37"/>
    </row>
    <row r="43" spans="2:8" ht="15" customHeight="1" x14ac:dyDescent="0.25">
      <c r="D43" s="37"/>
      <c r="E43" s="37"/>
      <c r="F43" s="37"/>
      <c r="G43" s="37"/>
      <c r="H43" s="37"/>
    </row>
    <row r="44" spans="2:8" ht="15" customHeight="1" x14ac:dyDescent="0.25">
      <c r="D44" s="37"/>
      <c r="E44" s="37"/>
      <c r="F44" s="37"/>
      <c r="G44" s="37"/>
      <c r="H44" s="37"/>
    </row>
    <row r="45" spans="2:8" ht="15" customHeight="1" x14ac:dyDescent="0.25">
      <c r="D45" s="37"/>
      <c r="E45" s="37"/>
      <c r="F45" s="37"/>
      <c r="G45" s="37"/>
      <c r="H45" s="37"/>
    </row>
    <row r="46" spans="2:8" ht="15" customHeight="1" x14ac:dyDescent="0.25">
      <c r="D46" s="37"/>
      <c r="E46" s="37"/>
      <c r="F46" s="37"/>
      <c r="G46" s="37"/>
      <c r="H46" s="37"/>
    </row>
    <row r="47" spans="2:8" ht="15" customHeight="1" x14ac:dyDescent="0.25">
      <c r="D47" s="37"/>
      <c r="E47" s="37"/>
      <c r="F47" s="37"/>
      <c r="G47" s="37"/>
      <c r="H47" s="37"/>
    </row>
    <row r="48" spans="2:8" ht="15" customHeight="1" x14ac:dyDescent="0.25">
      <c r="D48" s="37"/>
      <c r="E48" s="37"/>
      <c r="F48" s="37"/>
      <c r="G48" s="37"/>
      <c r="H48" s="37"/>
    </row>
    <row r="49" spans="4:8" ht="15" customHeight="1" x14ac:dyDescent="0.25">
      <c r="D49" s="37"/>
      <c r="E49" s="37"/>
      <c r="F49" s="37"/>
      <c r="G49" s="37"/>
      <c r="H49" s="37"/>
    </row>
    <row r="50" spans="4:8" ht="15" customHeight="1" x14ac:dyDescent="0.25">
      <c r="D50" s="37"/>
      <c r="E50" s="37"/>
      <c r="F50" s="37"/>
      <c r="G50" s="37"/>
      <c r="H50" s="37"/>
    </row>
    <row r="51" spans="4:8" ht="15" customHeight="1" x14ac:dyDescent="0.25">
      <c r="D51" s="37"/>
      <c r="E51" s="37"/>
      <c r="F51" s="37"/>
      <c r="G51" s="37"/>
      <c r="H51" s="37"/>
    </row>
    <row r="52" spans="4:8" ht="15" customHeight="1" x14ac:dyDescent="0.25">
      <c r="D52" s="37"/>
      <c r="E52" s="37"/>
      <c r="F52" s="37"/>
      <c r="G52" s="37"/>
      <c r="H52" s="37"/>
    </row>
    <row r="53" spans="4:8" ht="15" customHeight="1" x14ac:dyDescent="0.25">
      <c r="D53" s="37"/>
      <c r="E53" s="37"/>
      <c r="F53" s="37"/>
      <c r="G53" s="37"/>
      <c r="H53" s="37"/>
    </row>
    <row r="54" spans="4:8" ht="15" customHeight="1" x14ac:dyDescent="0.25">
      <c r="D54" s="37"/>
      <c r="E54" s="37"/>
      <c r="F54" s="37"/>
      <c r="G54" s="37"/>
      <c r="H54" s="37"/>
    </row>
    <row r="55" spans="4:8" ht="15" customHeight="1" x14ac:dyDescent="0.25">
      <c r="D55" s="37"/>
      <c r="E55" s="37"/>
      <c r="F55" s="37"/>
      <c r="G55" s="37"/>
      <c r="H55" s="37"/>
    </row>
    <row r="56" spans="4:8" ht="15" customHeight="1" x14ac:dyDescent="0.25">
      <c r="D56" s="37"/>
      <c r="E56" s="37"/>
      <c r="F56" s="37"/>
      <c r="G56" s="37"/>
      <c r="H56" s="37"/>
    </row>
    <row r="57" spans="4:8" ht="15.75" x14ac:dyDescent="0.25">
      <c r="D57" s="37"/>
      <c r="E57" s="37"/>
      <c r="F57" s="37"/>
      <c r="G57" s="37"/>
      <c r="H57" s="37"/>
    </row>
    <row r="58" spans="4:8" ht="15.75" x14ac:dyDescent="0.25">
      <c r="D58" s="37"/>
      <c r="E58" s="37"/>
      <c r="F58" s="37"/>
      <c r="G58" s="37"/>
      <c r="H58" s="37"/>
    </row>
    <row r="59" spans="4:8" ht="15.75" x14ac:dyDescent="0.25">
      <c r="D59" s="37"/>
      <c r="E59" s="37"/>
      <c r="F59" s="37"/>
      <c r="G59" s="37"/>
      <c r="H59" s="37"/>
    </row>
    <row r="60" spans="4:8" ht="15.75" x14ac:dyDescent="0.25">
      <c r="D60" s="37"/>
      <c r="E60" s="37"/>
      <c r="F60" s="37"/>
      <c r="G60" s="37"/>
      <c r="H60" s="37"/>
    </row>
    <row r="61" spans="4:8" ht="15.75" x14ac:dyDescent="0.25">
      <c r="D61" s="37"/>
      <c r="E61" s="37"/>
      <c r="F61" s="37"/>
      <c r="G61" s="37"/>
      <c r="H61" s="37"/>
    </row>
    <row r="62" spans="4:8" ht="15.75" x14ac:dyDescent="0.25">
      <c r="D62" s="37"/>
      <c r="E62" s="37"/>
      <c r="F62" s="37"/>
      <c r="G62" s="37"/>
      <c r="H62" s="37"/>
    </row>
    <row r="63" spans="4:8" ht="15.75" x14ac:dyDescent="0.25">
      <c r="D63" s="37"/>
      <c r="E63" s="37"/>
      <c r="F63" s="37"/>
      <c r="G63" s="37"/>
      <c r="H63" s="37"/>
    </row>
    <row r="64" spans="4:8" ht="15.75" x14ac:dyDescent="0.25">
      <c r="D64" s="37"/>
      <c r="E64" s="37"/>
      <c r="F64" s="37"/>
      <c r="G64" s="37"/>
      <c r="H64" s="37"/>
    </row>
    <row r="65" spans="4:8" ht="15.75" x14ac:dyDescent="0.25">
      <c r="D65" s="37"/>
      <c r="E65" s="37"/>
      <c r="F65" s="37"/>
      <c r="G65" s="37"/>
      <c r="H65" s="37"/>
    </row>
    <row r="66" spans="4:8" ht="15.75" x14ac:dyDescent="0.25">
      <c r="D66" s="37"/>
      <c r="E66" s="37"/>
      <c r="F66" s="37"/>
      <c r="G66" s="37"/>
      <c r="H66" s="37"/>
    </row>
    <row r="67" spans="4:8" ht="15.75" x14ac:dyDescent="0.25">
      <c r="D67" s="37"/>
      <c r="E67" s="37"/>
      <c r="F67" s="37"/>
      <c r="G67" s="37"/>
      <c r="H67" s="37"/>
    </row>
    <row r="68" spans="4:8" ht="15.75" x14ac:dyDescent="0.25">
      <c r="D68" s="37"/>
      <c r="E68" s="37"/>
      <c r="F68" s="37"/>
      <c r="G68" s="37"/>
      <c r="H68" s="37"/>
    </row>
    <row r="69" spans="4:8" ht="15.75" x14ac:dyDescent="0.25">
      <c r="D69" s="37"/>
      <c r="E69" s="37"/>
      <c r="F69" s="37"/>
      <c r="G69" s="37"/>
      <c r="H69" s="37"/>
    </row>
    <row r="70" spans="4:8" ht="15.75" x14ac:dyDescent="0.25">
      <c r="D70" s="37"/>
      <c r="E70" s="37"/>
      <c r="F70" s="37"/>
      <c r="G70" s="37"/>
      <c r="H70" s="37"/>
    </row>
    <row r="71" spans="4:8" ht="15.75" x14ac:dyDescent="0.25">
      <c r="D71" s="37"/>
      <c r="E71" s="37"/>
      <c r="F71" s="37"/>
      <c r="G71" s="37"/>
      <c r="H71" s="37"/>
    </row>
    <row r="72" spans="4:8" ht="15.75" x14ac:dyDescent="0.25">
      <c r="D72" s="37"/>
      <c r="E72" s="37"/>
      <c r="F72" s="37"/>
      <c r="G72" s="37"/>
      <c r="H72" s="37"/>
    </row>
    <row r="73" spans="4:8" ht="15.75" x14ac:dyDescent="0.25">
      <c r="D73" s="37"/>
      <c r="E73" s="37"/>
      <c r="F73" s="37"/>
      <c r="G73" s="37"/>
      <c r="H73" s="37"/>
    </row>
    <row r="74" spans="4:8" ht="15.75" x14ac:dyDescent="0.25">
      <c r="D74" s="37"/>
      <c r="E74" s="37"/>
      <c r="F74" s="37"/>
      <c r="G74" s="37"/>
      <c r="H74" s="37"/>
    </row>
    <row r="75" spans="4:8" ht="15.75" x14ac:dyDescent="0.25">
      <c r="D75" s="37"/>
      <c r="E75" s="37"/>
      <c r="F75" s="37"/>
      <c r="G75" s="37"/>
      <c r="H75" s="37"/>
    </row>
    <row r="76" spans="4:8" ht="15.75" x14ac:dyDescent="0.25">
      <c r="D76" s="37"/>
      <c r="E76" s="37"/>
      <c r="F76" s="37"/>
      <c r="G76" s="37"/>
      <c r="H76" s="37"/>
    </row>
    <row r="77" spans="4:8" ht="15.75" x14ac:dyDescent="0.25">
      <c r="D77" s="37"/>
      <c r="E77" s="37"/>
      <c r="F77" s="37"/>
      <c r="G77" s="37"/>
      <c r="H77" s="37"/>
    </row>
    <row r="78" spans="4:8" ht="15.75" x14ac:dyDescent="0.25">
      <c r="D78" s="37"/>
      <c r="E78" s="37"/>
      <c r="F78" s="37"/>
      <c r="G78" s="37"/>
      <c r="H78" s="37"/>
    </row>
    <row r="79" spans="4:8" ht="15.75" x14ac:dyDescent="0.25">
      <c r="D79" s="37"/>
      <c r="E79" s="37"/>
      <c r="F79" s="37"/>
      <c r="G79" s="37"/>
      <c r="H79" s="37"/>
    </row>
    <row r="80" spans="4:8" ht="15.75" x14ac:dyDescent="0.25">
      <c r="D80" s="37"/>
      <c r="E80" s="37"/>
      <c r="F80" s="37"/>
      <c r="G80" s="37"/>
      <c r="H80" s="37"/>
    </row>
    <row r="81" spans="4:8" ht="15.75" x14ac:dyDescent="0.25">
      <c r="D81" s="37"/>
      <c r="E81" s="37"/>
      <c r="F81" s="37"/>
      <c r="G81" s="37"/>
      <c r="H81" s="37"/>
    </row>
    <row r="82" spans="4:8" ht="15.75" x14ac:dyDescent="0.25">
      <c r="D82" s="37"/>
      <c r="E82" s="37"/>
      <c r="F82" s="37"/>
      <c r="G82" s="37"/>
      <c r="H82" s="37"/>
    </row>
    <row r="83" spans="4:8" ht="15.75" x14ac:dyDescent="0.25">
      <c r="D83" s="37"/>
      <c r="E83" s="37"/>
      <c r="F83" s="37"/>
      <c r="G83" s="37"/>
      <c r="H83" s="37"/>
    </row>
    <row r="84" spans="4:8" ht="15.75" x14ac:dyDescent="0.25">
      <c r="D84" s="37"/>
      <c r="E84" s="37"/>
      <c r="F84" s="37"/>
      <c r="G84" s="37"/>
      <c r="H84" s="37"/>
    </row>
    <row r="85" spans="4:8" ht="15.75" x14ac:dyDescent="0.25">
      <c r="D85" s="37"/>
      <c r="E85" s="37"/>
      <c r="F85" s="37"/>
      <c r="G85" s="37"/>
      <c r="H85" s="37"/>
    </row>
    <row r="86" spans="4:8" ht="15.75" x14ac:dyDescent="0.25">
      <c r="D86" s="37"/>
      <c r="E86" s="37"/>
      <c r="F86" s="37"/>
      <c r="G86" s="37"/>
      <c r="H86" s="37"/>
    </row>
    <row r="87" spans="4:8" ht="15.75" x14ac:dyDescent="0.25">
      <c r="D87" s="37"/>
      <c r="E87" s="37"/>
      <c r="F87" s="37"/>
      <c r="G87" s="37"/>
      <c r="H87" s="37"/>
    </row>
    <row r="88" spans="4:8" ht="15.75" x14ac:dyDescent="0.25">
      <c r="D88" s="37"/>
      <c r="E88" s="37"/>
      <c r="F88" s="37"/>
      <c r="G88" s="37"/>
      <c r="H88" s="37"/>
    </row>
    <row r="89" spans="4:8" ht="15.75" x14ac:dyDescent="0.25">
      <c r="D89" s="37"/>
      <c r="E89" s="37"/>
      <c r="F89" s="37"/>
      <c r="G89" s="37"/>
      <c r="H89" s="37"/>
    </row>
    <row r="90" spans="4:8" ht="15.75" x14ac:dyDescent="0.25">
      <c r="D90" s="37"/>
      <c r="E90" s="37"/>
      <c r="F90" s="37"/>
      <c r="G90" s="37"/>
      <c r="H90" s="37"/>
    </row>
    <row r="91" spans="4:8" ht="15.75" x14ac:dyDescent="0.25">
      <c r="D91" s="37"/>
      <c r="E91" s="37"/>
      <c r="F91" s="37"/>
      <c r="G91" s="37"/>
      <c r="H91" s="37"/>
    </row>
    <row r="92" spans="4:8" ht="15.75" x14ac:dyDescent="0.25">
      <c r="D92" s="37"/>
      <c r="E92" s="37"/>
      <c r="F92" s="37"/>
      <c r="G92" s="37"/>
      <c r="H92" s="37"/>
    </row>
    <row r="93" spans="4:8" ht="15.75" x14ac:dyDescent="0.25">
      <c r="D93" s="37"/>
      <c r="E93" s="37"/>
      <c r="F93" s="37"/>
      <c r="G93" s="37"/>
      <c r="H93" s="37"/>
    </row>
    <row r="94" spans="4:8" ht="15.75" x14ac:dyDescent="0.25">
      <c r="D94" s="37"/>
      <c r="E94" s="37"/>
      <c r="F94" s="37"/>
      <c r="G94" s="37"/>
      <c r="H94" s="37"/>
    </row>
    <row r="95" spans="4:8" ht="15.75" x14ac:dyDescent="0.25">
      <c r="D95" s="37"/>
      <c r="E95" s="37"/>
      <c r="F95" s="37"/>
      <c r="G95" s="37"/>
      <c r="H95" s="37"/>
    </row>
    <row r="96" spans="4:8" ht="15.75" x14ac:dyDescent="0.25">
      <c r="D96" s="37"/>
      <c r="E96" s="37"/>
      <c r="F96" s="37"/>
      <c r="G96" s="37"/>
      <c r="H96" s="37"/>
    </row>
    <row r="97" spans="4:8" ht="15.75" x14ac:dyDescent="0.25">
      <c r="D97" s="37"/>
      <c r="E97" s="37"/>
      <c r="F97" s="37"/>
      <c r="G97" s="37"/>
      <c r="H97" s="37"/>
    </row>
    <row r="98" spans="4:8" ht="15.75" x14ac:dyDescent="0.25">
      <c r="D98" s="37"/>
      <c r="E98" s="37"/>
      <c r="F98" s="37"/>
      <c r="G98" s="37"/>
      <c r="H98" s="37"/>
    </row>
    <row r="99" spans="4:8" ht="15.75" x14ac:dyDescent="0.25">
      <c r="D99" s="37"/>
      <c r="E99" s="37"/>
      <c r="F99" s="37"/>
      <c r="G99" s="37"/>
      <c r="H99" s="37"/>
    </row>
    <row r="100" spans="4:8" ht="15.75" x14ac:dyDescent="0.25">
      <c r="D100" s="37"/>
      <c r="E100" s="37"/>
      <c r="F100" s="37"/>
      <c r="G100" s="37"/>
      <c r="H100" s="37"/>
    </row>
    <row r="101" spans="4:8" ht="15.75" x14ac:dyDescent="0.25">
      <c r="D101" s="37"/>
      <c r="E101" s="37"/>
      <c r="F101" s="37"/>
      <c r="G101" s="37"/>
      <c r="H101" s="37"/>
    </row>
    <row r="102" spans="4:8" ht="15.75" x14ac:dyDescent="0.25">
      <c r="D102" s="37"/>
      <c r="E102" s="37"/>
      <c r="F102" s="37"/>
      <c r="G102" s="37"/>
      <c r="H102" s="37"/>
    </row>
    <row r="103" spans="4:8" ht="15.75" x14ac:dyDescent="0.25">
      <c r="D103" s="37"/>
      <c r="E103" s="37"/>
      <c r="F103" s="37"/>
      <c r="G103" s="37"/>
      <c r="H103" s="37"/>
    </row>
    <row r="104" spans="4:8" ht="15.75" x14ac:dyDescent="0.25">
      <c r="D104" s="37"/>
      <c r="E104" s="37"/>
      <c r="F104" s="37"/>
      <c r="G104" s="37"/>
      <c r="H104" s="37"/>
    </row>
    <row r="105" spans="4:8" ht="15.75" x14ac:dyDescent="0.25">
      <c r="D105" s="37"/>
      <c r="E105" s="37"/>
      <c r="F105" s="37"/>
      <c r="G105" s="37"/>
      <c r="H105" s="37"/>
    </row>
    <row r="106" spans="4:8" ht="15.75" x14ac:dyDescent="0.25">
      <c r="D106" s="37"/>
      <c r="E106" s="37"/>
      <c r="F106" s="37"/>
      <c r="G106" s="37"/>
      <c r="H106" s="37"/>
    </row>
    <row r="107" spans="4:8" ht="15.75" x14ac:dyDescent="0.25">
      <c r="D107" s="37"/>
      <c r="E107" s="37"/>
      <c r="F107" s="37"/>
      <c r="G107" s="37"/>
      <c r="H107" s="37"/>
    </row>
    <row r="108" spans="4:8" ht="15.75" x14ac:dyDescent="0.25">
      <c r="D108" s="37"/>
      <c r="E108" s="37"/>
      <c r="F108" s="37"/>
      <c r="G108" s="37"/>
      <c r="H108" s="37"/>
    </row>
    <row r="109" spans="4:8" ht="15.75" x14ac:dyDescent="0.25">
      <c r="D109" s="37"/>
      <c r="E109" s="37"/>
      <c r="F109" s="37"/>
      <c r="G109" s="37"/>
      <c r="H109" s="37"/>
    </row>
    <row r="110" spans="4:8" ht="15.75" x14ac:dyDescent="0.25">
      <c r="D110" s="37"/>
      <c r="E110" s="37"/>
      <c r="F110" s="37"/>
      <c r="G110" s="37"/>
      <c r="H110" s="37"/>
    </row>
    <row r="111" spans="4:8" ht="15.75" x14ac:dyDescent="0.25">
      <c r="D111" s="37"/>
      <c r="E111" s="37"/>
      <c r="F111" s="37"/>
      <c r="G111" s="37"/>
      <c r="H111" s="37"/>
    </row>
    <row r="112" spans="4:8" ht="15.75" x14ac:dyDescent="0.25">
      <c r="D112" s="37"/>
      <c r="E112" s="37"/>
      <c r="F112" s="37"/>
      <c r="G112" s="37"/>
      <c r="H112" s="37"/>
    </row>
    <row r="113" spans="4:8" ht="15.75" x14ac:dyDescent="0.25">
      <c r="D113" s="37"/>
      <c r="E113" s="37"/>
      <c r="F113" s="37"/>
      <c r="G113" s="37"/>
      <c r="H113" s="37"/>
    </row>
    <row r="114" spans="4:8" ht="15.75" x14ac:dyDescent="0.25">
      <c r="D114" s="37"/>
      <c r="E114" s="37"/>
      <c r="F114" s="37"/>
      <c r="G114" s="37"/>
      <c r="H114" s="37"/>
    </row>
    <row r="115" spans="4:8" ht="15.75" x14ac:dyDescent="0.25">
      <c r="D115" s="37"/>
      <c r="E115" s="37"/>
      <c r="F115" s="37"/>
      <c r="G115" s="37"/>
      <c r="H115" s="37"/>
    </row>
    <row r="116" spans="4:8" ht="15.75" x14ac:dyDescent="0.25">
      <c r="D116" s="37"/>
      <c r="E116" s="37"/>
      <c r="F116" s="37"/>
      <c r="G116" s="37"/>
      <c r="H116" s="37"/>
    </row>
    <row r="117" spans="4:8" ht="15.75" x14ac:dyDescent="0.25">
      <c r="D117" s="37"/>
      <c r="E117" s="37"/>
      <c r="F117" s="37"/>
      <c r="G117" s="37"/>
      <c r="H117" s="37"/>
    </row>
    <row r="118" spans="4:8" ht="15.75" x14ac:dyDescent="0.25">
      <c r="D118" s="37"/>
      <c r="E118" s="37"/>
      <c r="F118" s="37"/>
      <c r="G118" s="37"/>
      <c r="H118" s="37"/>
    </row>
    <row r="119" spans="4:8" ht="15.75" x14ac:dyDescent="0.25">
      <c r="D119" s="37"/>
      <c r="E119" s="37"/>
      <c r="F119" s="37"/>
      <c r="G119" s="37"/>
      <c r="H119" s="37"/>
    </row>
    <row r="120" spans="4:8" ht="15.75" x14ac:dyDescent="0.25">
      <c r="D120" s="37"/>
      <c r="E120" s="37"/>
      <c r="F120" s="37"/>
      <c r="G120" s="37"/>
      <c r="H120" s="37"/>
    </row>
    <row r="121" spans="4:8" ht="15.75" x14ac:dyDescent="0.25">
      <c r="D121" s="37"/>
      <c r="E121" s="37"/>
      <c r="F121" s="37"/>
      <c r="G121" s="37"/>
      <c r="H121" s="37"/>
    </row>
    <row r="122" spans="4:8" ht="15.75" x14ac:dyDescent="0.25">
      <c r="D122" s="37"/>
      <c r="E122" s="37"/>
      <c r="F122" s="37"/>
      <c r="G122" s="37"/>
      <c r="H122" s="37"/>
    </row>
    <row r="123" spans="4:8" ht="15.75" x14ac:dyDescent="0.25">
      <c r="D123" s="37"/>
      <c r="E123" s="37"/>
      <c r="F123" s="37"/>
      <c r="G123" s="37"/>
      <c r="H123" s="37"/>
    </row>
    <row r="124" spans="4:8" ht="15.75" x14ac:dyDescent="0.25">
      <c r="D124" s="37"/>
      <c r="E124" s="37"/>
      <c r="F124" s="37"/>
      <c r="G124" s="37"/>
      <c r="H124" s="37"/>
    </row>
    <row r="125" spans="4:8" ht="15.75" x14ac:dyDescent="0.25">
      <c r="D125" s="37"/>
      <c r="E125" s="37"/>
      <c r="F125" s="37"/>
      <c r="G125" s="37"/>
      <c r="H125" s="37"/>
    </row>
    <row r="126" spans="4:8" ht="15.75" x14ac:dyDescent="0.25">
      <c r="D126" s="37"/>
      <c r="E126" s="37"/>
      <c r="F126" s="37"/>
      <c r="G126" s="37"/>
      <c r="H126" s="37"/>
    </row>
    <row r="127" spans="4:8" ht="15.75" x14ac:dyDescent="0.25">
      <c r="D127" s="37"/>
      <c r="E127" s="37"/>
      <c r="F127" s="37"/>
      <c r="G127" s="37"/>
      <c r="H127" s="37"/>
    </row>
    <row r="128" spans="4:8" ht="15.75" x14ac:dyDescent="0.25">
      <c r="D128" s="37"/>
      <c r="E128" s="37"/>
      <c r="F128" s="37"/>
      <c r="G128" s="37"/>
      <c r="H128" s="37"/>
    </row>
    <row r="129" spans="4:8" ht="15.75" x14ac:dyDescent="0.25">
      <c r="D129" s="37"/>
      <c r="E129" s="37"/>
      <c r="F129" s="37"/>
      <c r="G129" s="37"/>
      <c r="H129" s="37"/>
    </row>
    <row r="130" spans="4:8" ht="15.75" x14ac:dyDescent="0.25">
      <c r="D130" s="37"/>
      <c r="E130" s="37"/>
      <c r="F130" s="37"/>
      <c r="G130" s="37"/>
      <c r="H130" s="37"/>
    </row>
    <row r="131" spans="4:8" ht="15.75" x14ac:dyDescent="0.25">
      <c r="D131" s="37"/>
      <c r="E131" s="37"/>
      <c r="F131" s="37"/>
      <c r="G131" s="37"/>
      <c r="H131" s="37"/>
    </row>
    <row r="132" spans="4:8" ht="15.75" x14ac:dyDescent="0.25">
      <c r="D132" s="37"/>
      <c r="E132" s="37"/>
      <c r="F132" s="37"/>
      <c r="G132" s="37"/>
      <c r="H132" s="37"/>
    </row>
    <row r="133" spans="4:8" ht="15.75" x14ac:dyDescent="0.25">
      <c r="D133" s="37"/>
      <c r="E133" s="37"/>
      <c r="F133" s="37"/>
      <c r="G133" s="37"/>
      <c r="H133" s="37"/>
    </row>
    <row r="134" spans="4:8" ht="15.75" x14ac:dyDescent="0.25">
      <c r="D134" s="37"/>
      <c r="E134" s="37"/>
      <c r="F134" s="37"/>
      <c r="G134" s="37"/>
      <c r="H134" s="37"/>
    </row>
    <row r="135" spans="4:8" ht="15.75" x14ac:dyDescent="0.25">
      <c r="D135" s="37"/>
      <c r="E135" s="37"/>
      <c r="F135" s="37"/>
      <c r="G135" s="37"/>
      <c r="H135" s="37"/>
    </row>
    <row r="136" spans="4:8" ht="15.75" x14ac:dyDescent="0.25">
      <c r="D136" s="37"/>
      <c r="E136" s="37"/>
      <c r="F136" s="37"/>
      <c r="G136" s="37"/>
      <c r="H136" s="37"/>
    </row>
    <row r="137" spans="4:8" ht="15.75" x14ac:dyDescent="0.25">
      <c r="D137" s="37"/>
      <c r="E137" s="37"/>
      <c r="F137" s="37"/>
      <c r="G137" s="37"/>
      <c r="H137" s="37"/>
    </row>
    <row r="138" spans="4:8" ht="15.75" x14ac:dyDescent="0.25">
      <c r="D138" s="37"/>
      <c r="E138" s="37"/>
      <c r="F138" s="37"/>
      <c r="G138" s="37"/>
      <c r="H138" s="37"/>
    </row>
    <row r="139" spans="4:8" ht="15.75" x14ac:dyDescent="0.25">
      <c r="D139" s="37"/>
      <c r="E139" s="37"/>
      <c r="F139" s="37"/>
      <c r="G139" s="37"/>
      <c r="H139" s="37"/>
    </row>
    <row r="140" spans="4:8" ht="15.75" x14ac:dyDescent="0.25">
      <c r="D140" s="37"/>
      <c r="E140" s="37"/>
      <c r="F140" s="37"/>
      <c r="G140" s="37"/>
      <c r="H140" s="37"/>
    </row>
    <row r="141" spans="4:8" ht="15.75" x14ac:dyDescent="0.25">
      <c r="D141" s="37"/>
      <c r="E141" s="37"/>
      <c r="F141" s="37"/>
      <c r="G141" s="37"/>
      <c r="H141" s="37"/>
    </row>
    <row r="142" spans="4:8" ht="15.75" x14ac:dyDescent="0.25">
      <c r="D142" s="37"/>
      <c r="E142" s="37"/>
      <c r="F142" s="37"/>
      <c r="G142" s="37"/>
      <c r="H142" s="37"/>
    </row>
    <row r="143" spans="4:8" ht="15.75" x14ac:dyDescent="0.25">
      <c r="D143" s="37"/>
      <c r="E143" s="37"/>
      <c r="F143" s="37"/>
      <c r="G143" s="37"/>
      <c r="H143" s="37"/>
    </row>
    <row r="144" spans="4:8" ht="15.75" x14ac:dyDescent="0.25">
      <c r="D144" s="37"/>
      <c r="E144" s="37"/>
      <c r="F144" s="37"/>
      <c r="G144" s="37"/>
      <c r="H144" s="37"/>
    </row>
    <row r="145" spans="4:8" ht="15.75" x14ac:dyDescent="0.25">
      <c r="D145" s="37"/>
      <c r="E145" s="37"/>
      <c r="F145" s="37"/>
      <c r="G145" s="37"/>
      <c r="H145" s="37"/>
    </row>
    <row r="146" spans="4:8" ht="15.75" x14ac:dyDescent="0.25">
      <c r="D146" s="37"/>
      <c r="E146" s="37"/>
      <c r="F146" s="37"/>
      <c r="G146" s="37"/>
      <c r="H146" s="37"/>
    </row>
    <row r="147" spans="4:8" ht="15.75" x14ac:dyDescent="0.25">
      <c r="D147" s="37"/>
      <c r="E147" s="37"/>
      <c r="F147" s="37"/>
      <c r="G147" s="37"/>
      <c r="H147" s="37"/>
    </row>
    <row r="148" spans="4:8" ht="15.75" x14ac:dyDescent="0.25">
      <c r="D148" s="37"/>
      <c r="E148" s="37"/>
      <c r="F148" s="37"/>
      <c r="G148" s="37"/>
      <c r="H148" s="37"/>
    </row>
    <row r="149" spans="4:8" ht="15.75" x14ac:dyDescent="0.25">
      <c r="D149" s="37"/>
      <c r="E149" s="37"/>
      <c r="F149" s="37"/>
      <c r="G149" s="37"/>
      <c r="H149" s="37"/>
    </row>
    <row r="150" spans="4:8" ht="15.75" x14ac:dyDescent="0.25">
      <c r="D150" s="37"/>
      <c r="E150" s="37"/>
      <c r="F150" s="37"/>
      <c r="G150" s="37"/>
      <c r="H150" s="37"/>
    </row>
    <row r="151" spans="4:8" ht="15.75" x14ac:dyDescent="0.25">
      <c r="D151" s="37"/>
      <c r="E151" s="37"/>
      <c r="F151" s="37"/>
      <c r="G151" s="37"/>
      <c r="H151" s="37"/>
    </row>
    <row r="152" spans="4:8" ht="15.75" x14ac:dyDescent="0.25">
      <c r="D152" s="37"/>
      <c r="E152" s="37"/>
      <c r="F152" s="37"/>
      <c r="G152" s="37"/>
      <c r="H152" s="37"/>
    </row>
    <row r="153" spans="4:8" ht="15.75" x14ac:dyDescent="0.25">
      <c r="D153" s="37"/>
      <c r="E153" s="37"/>
      <c r="F153" s="37"/>
      <c r="G153" s="37"/>
      <c r="H153" s="37"/>
    </row>
    <row r="154" spans="4:8" ht="15.75" x14ac:dyDescent="0.25">
      <c r="D154" s="37"/>
      <c r="E154" s="37"/>
      <c r="F154" s="37"/>
      <c r="G154" s="37"/>
      <c r="H154" s="37"/>
    </row>
    <row r="155" spans="4:8" ht="15.75" x14ac:dyDescent="0.25">
      <c r="D155" s="37"/>
      <c r="E155" s="37"/>
      <c r="F155" s="37"/>
      <c r="G155" s="37"/>
      <c r="H155" s="37"/>
    </row>
    <row r="156" spans="4:8" ht="15.75" x14ac:dyDescent="0.25">
      <c r="D156" s="37"/>
      <c r="E156" s="37"/>
      <c r="F156" s="37"/>
      <c r="G156" s="37"/>
      <c r="H156" s="37"/>
    </row>
    <row r="157" spans="4:8" ht="15.75" x14ac:dyDescent="0.25">
      <c r="D157" s="37"/>
      <c r="E157" s="37"/>
      <c r="F157" s="37"/>
      <c r="G157" s="37"/>
      <c r="H157" s="37"/>
    </row>
    <row r="158" spans="4:8" ht="15.75" x14ac:dyDescent="0.25">
      <c r="D158" s="37"/>
      <c r="E158" s="37"/>
      <c r="F158" s="37"/>
      <c r="G158" s="37"/>
      <c r="H158" s="37"/>
    </row>
    <row r="159" spans="4:8" ht="15.75" x14ac:dyDescent="0.25">
      <c r="D159" s="37"/>
      <c r="E159" s="37"/>
      <c r="F159" s="37"/>
      <c r="G159" s="37"/>
      <c r="H159" s="37"/>
    </row>
    <row r="160" spans="4:8" ht="15.75" x14ac:dyDescent="0.25">
      <c r="D160" s="37"/>
      <c r="E160" s="37"/>
      <c r="F160" s="37"/>
      <c r="G160" s="37"/>
      <c r="H160" s="37"/>
    </row>
    <row r="161" spans="4:8" ht="15.75" x14ac:dyDescent="0.25">
      <c r="D161" s="37"/>
      <c r="E161" s="37"/>
      <c r="F161" s="37"/>
      <c r="G161" s="37"/>
      <c r="H161" s="37"/>
    </row>
  </sheetData>
  <sheetProtection algorithmName="SHA-512" hashValue="qBerLVlyadGMZwejr6MlHSfsWMoDdJCfNPiIGIv0Ex14NtRdIVBOTMq7WVFVRCnxEDLTR60nP342PsXdFQgFJQ==" saltValue="9AteNEii8yZ7YtCn4MUX/g==" spinCount="100000" sheet="1" objects="1" scenarios="1"/>
  <pageMargins left="0.7" right="0.7" top="0.98479166666666662" bottom="0.75" header="0.3" footer="0.3"/>
  <pageSetup scale="71" fitToHeight="0" orientation="landscape" r:id="rId1"/>
  <headerFooter>
    <oddFooter>&amp;L&amp;"Avenir LT Std 55 Roman,Regular"&amp;12&amp;K000000FINAL August 7, 2020&amp;C&amp;"Avenir LT Std 55 Roman,Regular"&amp;12Page &amp;P of &amp;N&amp;R&amp;"Avenir LT Std 55 Roman,Regular"&amp;12&amp;K000000&amp;A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66"/>
  </sheetPr>
  <dimension ref="B1:AA187"/>
  <sheetViews>
    <sheetView showGridLines="0" zoomScaleNormal="100" workbookViewId="0"/>
  </sheetViews>
  <sheetFormatPr defaultColWidth="9.140625" defaultRowHeight="15" x14ac:dyDescent="0.25"/>
  <cols>
    <col min="1" max="1" width="4.28515625" style="9" customWidth="1"/>
    <col min="2" max="2" width="34.7109375" style="9" bestFit="1" customWidth="1"/>
    <col min="3" max="3" width="100.7109375" style="9" customWidth="1"/>
    <col min="4" max="4" width="33.28515625" style="9" customWidth="1"/>
    <col min="5" max="5" width="1.7109375" style="9" customWidth="1"/>
    <col min="6" max="7" width="33.28515625" style="9" customWidth="1"/>
    <col min="8" max="8" width="34.5703125" style="9" bestFit="1" customWidth="1"/>
    <col min="9" max="9" width="19.42578125" style="9" customWidth="1"/>
    <col min="10" max="10" width="16.85546875" style="9" customWidth="1"/>
    <col min="11" max="11" width="14.140625" style="9" customWidth="1"/>
    <col min="12" max="12" width="31.7109375" style="9" customWidth="1"/>
    <col min="13" max="16384" width="9.140625" style="9"/>
  </cols>
  <sheetData>
    <row r="1" spans="2:5" ht="18.75" customHeight="1" x14ac:dyDescent="0.25">
      <c r="B1" s="22"/>
      <c r="C1" s="22"/>
      <c r="D1" s="22"/>
      <c r="E1" s="22"/>
    </row>
    <row r="2" spans="2:5" ht="15" customHeight="1" x14ac:dyDescent="0.3">
      <c r="B2" s="249"/>
      <c r="C2" s="249"/>
      <c r="D2" s="249"/>
      <c r="E2" s="249"/>
    </row>
    <row r="3" spans="2:5" ht="18.75" customHeight="1" x14ac:dyDescent="0.25">
      <c r="B3" s="22"/>
      <c r="C3" s="22"/>
      <c r="D3" s="22"/>
      <c r="E3" s="22"/>
    </row>
    <row r="4" spans="2:5" ht="20.25" x14ac:dyDescent="0.25">
      <c r="B4" s="236"/>
      <c r="C4" s="236"/>
      <c r="D4" s="236"/>
      <c r="E4" s="236"/>
    </row>
    <row r="5" spans="2:5" ht="15" customHeight="1" x14ac:dyDescent="0.25">
      <c r="B5" s="237"/>
      <c r="C5" s="237"/>
      <c r="D5" s="237"/>
      <c r="E5" s="237"/>
    </row>
    <row r="6" spans="2:5" ht="15" customHeight="1" x14ac:dyDescent="0.25">
      <c r="B6" s="209"/>
      <c r="C6" s="209"/>
      <c r="D6" s="209"/>
      <c r="E6" s="209"/>
    </row>
    <row r="7" spans="2:5" ht="18.75" customHeight="1" x14ac:dyDescent="0.25">
      <c r="B7" s="22"/>
      <c r="C7" s="22"/>
      <c r="D7" s="22"/>
      <c r="E7" s="22"/>
    </row>
    <row r="8" spans="2:5" ht="15" customHeight="1" x14ac:dyDescent="0.25"/>
    <row r="9" spans="2:5" ht="15" customHeight="1" x14ac:dyDescent="0.25">
      <c r="B9" s="10"/>
      <c r="C9" s="10"/>
      <c r="D9" s="10"/>
      <c r="E9" s="10"/>
    </row>
    <row r="10" spans="2:5" ht="18.75" x14ac:dyDescent="0.3">
      <c r="B10" s="512" t="s">
        <v>500</v>
      </c>
      <c r="C10" s="512"/>
      <c r="D10" s="10"/>
      <c r="E10" s="10"/>
    </row>
    <row r="11" spans="2:5" ht="15" customHeight="1" x14ac:dyDescent="0.25">
      <c r="B11" s="494" t="s">
        <v>369</v>
      </c>
      <c r="C11" s="495" t="s">
        <v>501</v>
      </c>
      <c r="D11" s="10"/>
      <c r="E11" s="10"/>
    </row>
    <row r="12" spans="2:5" ht="15" hidden="1" customHeight="1" x14ac:dyDescent="0.25">
      <c r="B12" s="494" t="s">
        <v>502</v>
      </c>
      <c r="C12" s="496" t="s">
        <v>503</v>
      </c>
      <c r="D12" s="10"/>
      <c r="E12" s="10"/>
    </row>
    <row r="13" spans="2:5" ht="15" customHeight="1" x14ac:dyDescent="0.25">
      <c r="B13" s="494" t="s">
        <v>563</v>
      </c>
      <c r="C13" s="497" t="s">
        <v>504</v>
      </c>
      <c r="D13" s="10"/>
      <c r="E13" s="10"/>
    </row>
    <row r="14" spans="2:5" ht="15" customHeight="1" x14ac:dyDescent="0.25">
      <c r="B14" s="494" t="s">
        <v>505</v>
      </c>
      <c r="C14" s="498" t="s">
        <v>367</v>
      </c>
      <c r="D14" s="10"/>
      <c r="E14" s="10"/>
    </row>
    <row r="15" spans="2:5" ht="15" customHeight="1" x14ac:dyDescent="0.25">
      <c r="B15" s="494" t="s">
        <v>506</v>
      </c>
      <c r="C15" s="499" t="s">
        <v>507</v>
      </c>
      <c r="D15" s="10"/>
      <c r="E15" s="10"/>
    </row>
    <row r="16" spans="2:5" ht="15" customHeight="1" x14ac:dyDescent="0.25">
      <c r="B16" s="494" t="s">
        <v>508</v>
      </c>
      <c r="C16" s="499" t="s">
        <v>509</v>
      </c>
      <c r="D16" s="10"/>
      <c r="E16" s="10"/>
    </row>
    <row r="17" spans="2:5" ht="15.75" customHeight="1" x14ac:dyDescent="0.25">
      <c r="B17" s="494" t="s">
        <v>510</v>
      </c>
      <c r="C17" s="499" t="s">
        <v>511</v>
      </c>
      <c r="D17" s="53"/>
      <c r="E17" s="53"/>
    </row>
    <row r="18" spans="2:5" ht="15.75" customHeight="1" x14ac:dyDescent="0.25">
      <c r="B18" s="494" t="s">
        <v>621</v>
      </c>
      <c r="C18" s="499" t="s">
        <v>620</v>
      </c>
      <c r="D18" s="53"/>
      <c r="E18" s="53"/>
    </row>
    <row r="19" spans="2:5" ht="15.75" customHeight="1" x14ac:dyDescent="0.25">
      <c r="B19" s="494" t="s">
        <v>622</v>
      </c>
      <c r="C19" s="499" t="s">
        <v>567</v>
      </c>
      <c r="D19" s="53"/>
      <c r="E19" s="53"/>
    </row>
    <row r="20" spans="2:5" ht="15.75" customHeight="1" x14ac:dyDescent="0.25">
      <c r="B20" s="494" t="s">
        <v>512</v>
      </c>
      <c r="C20" s="499" t="s">
        <v>513</v>
      </c>
      <c r="D20" s="53"/>
      <c r="E20" s="53"/>
    </row>
    <row r="21" spans="2:5" ht="15.75" customHeight="1" x14ac:dyDescent="0.25">
      <c r="B21" s="494" t="s">
        <v>514</v>
      </c>
      <c r="C21" s="499" t="s">
        <v>515</v>
      </c>
      <c r="D21" s="54"/>
      <c r="E21" s="54"/>
    </row>
    <row r="22" spans="2:5" ht="18.75" x14ac:dyDescent="0.35">
      <c r="B22" s="494" t="s">
        <v>540</v>
      </c>
      <c r="C22" s="499" t="s">
        <v>516</v>
      </c>
      <c r="D22" s="54"/>
      <c r="E22" s="54"/>
    </row>
    <row r="23" spans="2:5" ht="18.75" x14ac:dyDescent="0.35">
      <c r="B23" s="494" t="s">
        <v>329</v>
      </c>
      <c r="C23" s="499" t="s">
        <v>541</v>
      </c>
      <c r="D23" s="55"/>
      <c r="E23" s="55"/>
    </row>
    <row r="24" spans="2:5" ht="18.75" x14ac:dyDescent="0.35">
      <c r="B24" s="494" t="s">
        <v>331</v>
      </c>
      <c r="C24" s="499" t="s">
        <v>517</v>
      </c>
      <c r="D24" s="55"/>
      <c r="E24" s="55"/>
    </row>
    <row r="25" spans="2:5" ht="15.75" x14ac:dyDescent="0.25">
      <c r="B25" s="494" t="s">
        <v>564</v>
      </c>
      <c r="C25" s="499" t="s">
        <v>565</v>
      </c>
      <c r="D25" s="55"/>
      <c r="E25" s="55"/>
    </row>
    <row r="26" spans="2:5" ht="15.75" customHeight="1" x14ac:dyDescent="0.25">
      <c r="B26" s="494" t="s">
        <v>518</v>
      </c>
      <c r="C26" s="499" t="s">
        <v>519</v>
      </c>
      <c r="D26" s="54"/>
      <c r="E26" s="54"/>
    </row>
    <row r="27" spans="2:5" ht="15.75" x14ac:dyDescent="0.25">
      <c r="B27" s="494" t="s">
        <v>53</v>
      </c>
      <c r="C27" s="499" t="s">
        <v>520</v>
      </c>
      <c r="D27" s="54"/>
      <c r="E27" s="54"/>
    </row>
    <row r="28" spans="2:5" ht="15.75" x14ac:dyDescent="0.25">
      <c r="B28" s="54"/>
      <c r="C28" s="54"/>
      <c r="D28" s="10"/>
    </row>
    <row r="29" spans="2:5" ht="18.75" x14ac:dyDescent="0.3">
      <c r="B29" s="512" t="s">
        <v>521</v>
      </c>
      <c r="C29" s="512"/>
      <c r="D29" s="10"/>
    </row>
    <row r="30" spans="2:5" ht="31.5" customHeight="1" x14ac:dyDescent="0.25">
      <c r="B30" s="494" t="s">
        <v>522</v>
      </c>
      <c r="C30" s="500" t="s">
        <v>523</v>
      </c>
      <c r="D30" s="10"/>
    </row>
    <row r="31" spans="2:5" ht="31.5" customHeight="1" x14ac:dyDescent="0.25">
      <c r="B31" s="494" t="s">
        <v>524</v>
      </c>
      <c r="C31" s="501" t="s">
        <v>525</v>
      </c>
      <c r="D31" s="10"/>
    </row>
    <row r="32" spans="2:5" ht="31.5" customHeight="1" x14ac:dyDescent="0.25">
      <c r="B32" s="494" t="s">
        <v>600</v>
      </c>
      <c r="C32" s="501" t="s">
        <v>605</v>
      </c>
      <c r="D32" s="10"/>
    </row>
    <row r="33" spans="2:27" ht="31.5" customHeight="1" x14ac:dyDescent="0.25">
      <c r="B33" s="494" t="s">
        <v>526</v>
      </c>
      <c r="C33" s="502" t="s">
        <v>527</v>
      </c>
      <c r="D33" s="10"/>
      <c r="E33" s="10"/>
    </row>
    <row r="34" spans="2:27" ht="31.5" customHeight="1" x14ac:dyDescent="0.25">
      <c r="B34" s="494" t="s">
        <v>602</v>
      </c>
      <c r="C34" s="502" t="s">
        <v>604</v>
      </c>
      <c r="D34" s="10"/>
      <c r="E34" s="10"/>
    </row>
    <row r="35" spans="2:27" ht="31.5" customHeight="1" x14ac:dyDescent="0.25">
      <c r="B35" s="494" t="s">
        <v>601</v>
      </c>
      <c r="C35" s="502" t="s">
        <v>603</v>
      </c>
      <c r="D35" s="10"/>
      <c r="E35" s="10"/>
    </row>
    <row r="36" spans="2:27" ht="47.25" x14ac:dyDescent="0.25">
      <c r="B36" s="494" t="s">
        <v>528</v>
      </c>
      <c r="C36" s="503" t="s">
        <v>566</v>
      </c>
    </row>
    <row r="37" spans="2:27" ht="15" customHeight="1" x14ac:dyDescent="0.25">
      <c r="F37" s="37"/>
      <c r="G37" s="37"/>
      <c r="H37" s="37"/>
      <c r="I37" s="37"/>
      <c r="J37" s="37"/>
      <c r="K37" s="37"/>
      <c r="L37" s="37"/>
      <c r="M37" s="37"/>
      <c r="N37" s="37"/>
      <c r="O37" s="37"/>
      <c r="P37" s="37"/>
      <c r="Q37" s="37"/>
      <c r="R37" s="37"/>
      <c r="S37" s="37"/>
      <c r="T37" s="37"/>
      <c r="U37" s="37"/>
      <c r="V37" s="37"/>
      <c r="W37" s="37"/>
      <c r="X37" s="37"/>
      <c r="Y37" s="38"/>
      <c r="Z37" s="38"/>
      <c r="AA37" s="37"/>
    </row>
    <row r="38" spans="2:27" ht="18.75" x14ac:dyDescent="0.3">
      <c r="B38" s="377" t="s">
        <v>529</v>
      </c>
      <c r="C38" s="378"/>
      <c r="D38" s="504"/>
      <c r="F38" s="37"/>
      <c r="G38" s="37"/>
      <c r="H38" s="37"/>
      <c r="I38" s="37"/>
      <c r="J38" s="37"/>
      <c r="K38" s="37"/>
    </row>
    <row r="39" spans="2:27" ht="15" customHeight="1" x14ac:dyDescent="0.25">
      <c r="B39" s="505" t="s">
        <v>530</v>
      </c>
      <c r="C39" s="506">
        <v>293.07</v>
      </c>
      <c r="D39" s="507" t="s">
        <v>531</v>
      </c>
      <c r="F39" s="37"/>
      <c r="G39" s="37"/>
      <c r="H39" s="37"/>
      <c r="I39" s="37"/>
      <c r="J39" s="37"/>
      <c r="K39" s="37"/>
    </row>
    <row r="40" spans="2:27" ht="15" customHeight="1" x14ac:dyDescent="0.25">
      <c r="B40" s="505" t="s">
        <v>532</v>
      </c>
      <c r="C40" s="556">
        <f>C41*C43</f>
        <v>2204.6226218488</v>
      </c>
      <c r="D40" s="507" t="s">
        <v>533</v>
      </c>
      <c r="F40" s="37"/>
      <c r="G40" s="37"/>
      <c r="H40" s="37"/>
      <c r="I40" s="37"/>
      <c r="J40" s="37"/>
      <c r="K40" s="37"/>
    </row>
    <row r="41" spans="2:27" ht="15" customHeight="1" x14ac:dyDescent="0.25">
      <c r="B41" s="505" t="s">
        <v>534</v>
      </c>
      <c r="C41" s="508">
        <v>1000000</v>
      </c>
      <c r="D41" s="509" t="s">
        <v>535</v>
      </c>
      <c r="F41" s="37"/>
      <c r="G41" s="37"/>
      <c r="H41" s="37"/>
      <c r="I41" s="37"/>
      <c r="J41" s="37"/>
      <c r="K41" s="37"/>
    </row>
    <row r="42" spans="2:27" ht="15" customHeight="1" x14ac:dyDescent="0.25">
      <c r="B42" s="505" t="s">
        <v>536</v>
      </c>
      <c r="C42" s="510">
        <f>1/C43</f>
        <v>453.59236999999501</v>
      </c>
      <c r="D42" s="507" t="s">
        <v>535</v>
      </c>
      <c r="E42" s="13"/>
      <c r="F42" s="37"/>
      <c r="G42" s="37"/>
      <c r="H42" s="37"/>
      <c r="I42" s="37"/>
      <c r="J42" s="37"/>
      <c r="K42" s="37"/>
    </row>
    <row r="43" spans="2:27" ht="15" customHeight="1" x14ac:dyDescent="0.25">
      <c r="B43" s="505" t="s">
        <v>537</v>
      </c>
      <c r="C43" s="511">
        <v>2.2046226218488001E-3</v>
      </c>
      <c r="D43" s="507" t="s">
        <v>533</v>
      </c>
      <c r="E43" s="15"/>
      <c r="F43" s="37"/>
      <c r="G43" s="37"/>
      <c r="H43" s="37"/>
      <c r="I43" s="37"/>
      <c r="J43" s="37"/>
      <c r="K43" s="37"/>
    </row>
    <row r="44" spans="2:27" ht="15" customHeight="1" x14ac:dyDescent="0.25">
      <c r="B44" s="15"/>
      <c r="C44" s="15"/>
      <c r="D44" s="15"/>
      <c r="E44" s="15"/>
      <c r="F44" s="37"/>
      <c r="G44" s="37"/>
      <c r="H44" s="37"/>
      <c r="I44" s="37"/>
      <c r="J44" s="37"/>
      <c r="K44" s="37"/>
    </row>
    <row r="45" spans="2:27" ht="15" customHeight="1" x14ac:dyDescent="0.25">
      <c r="B45" s="15"/>
      <c r="C45" s="15"/>
      <c r="D45" s="15"/>
      <c r="E45" s="15"/>
      <c r="F45" s="37"/>
      <c r="G45" s="37"/>
      <c r="H45" s="37"/>
      <c r="I45" s="37"/>
      <c r="J45" s="37"/>
      <c r="K45" s="37"/>
    </row>
    <row r="46" spans="2:27" ht="15" customHeight="1" x14ac:dyDescent="0.25">
      <c r="B46" s="15"/>
      <c r="C46" s="15"/>
      <c r="D46" s="15"/>
      <c r="E46" s="15"/>
      <c r="F46" s="37"/>
      <c r="G46" s="37"/>
      <c r="H46" s="37"/>
      <c r="I46" s="37"/>
      <c r="J46" s="37"/>
      <c r="K46" s="37"/>
    </row>
    <row r="47" spans="2:27" ht="15" customHeight="1" x14ac:dyDescent="0.25">
      <c r="B47" s="15"/>
      <c r="C47" s="15"/>
      <c r="D47" s="15"/>
      <c r="E47" s="15"/>
      <c r="F47" s="37"/>
      <c r="G47" s="37"/>
      <c r="H47" s="37"/>
      <c r="I47" s="37"/>
      <c r="J47" s="37"/>
      <c r="K47" s="37"/>
    </row>
    <row r="48" spans="2:27" ht="15" customHeight="1" x14ac:dyDescent="0.25">
      <c r="B48" s="15"/>
      <c r="C48" s="15"/>
      <c r="D48" s="15"/>
      <c r="E48" s="15"/>
      <c r="F48" s="37"/>
      <c r="G48" s="37"/>
      <c r="H48" s="37"/>
      <c r="I48" s="37"/>
      <c r="J48" s="37"/>
      <c r="K48" s="37"/>
    </row>
    <row r="49" spans="2:11" ht="15" customHeight="1" x14ac:dyDescent="0.25">
      <c r="B49" s="15"/>
      <c r="C49" s="15"/>
      <c r="D49" s="15"/>
      <c r="E49" s="15"/>
      <c r="F49" s="37"/>
      <c r="G49" s="37"/>
      <c r="H49" s="37"/>
      <c r="I49" s="37"/>
      <c r="J49" s="37"/>
      <c r="K49" s="37"/>
    </row>
    <row r="50" spans="2:11" ht="15" customHeight="1" x14ac:dyDescent="0.25">
      <c r="B50" s="35"/>
      <c r="C50" s="35"/>
      <c r="D50" s="35"/>
      <c r="E50" s="35"/>
      <c r="F50" s="37"/>
      <c r="G50" s="37"/>
      <c r="H50" s="37"/>
      <c r="I50" s="37"/>
      <c r="J50" s="37"/>
      <c r="K50" s="37"/>
    </row>
    <row r="51" spans="2:11" ht="15" customHeight="1" x14ac:dyDescent="0.25">
      <c r="B51" s="19"/>
      <c r="C51" s="19"/>
      <c r="D51" s="19"/>
      <c r="E51" s="19"/>
      <c r="F51" s="37"/>
      <c r="G51" s="37"/>
      <c r="H51" s="37"/>
      <c r="I51" s="37"/>
      <c r="J51" s="37"/>
      <c r="K51" s="37"/>
    </row>
    <row r="52" spans="2:11" ht="15" customHeight="1" x14ac:dyDescent="0.25">
      <c r="B52" s="20"/>
      <c r="C52" s="20"/>
      <c r="D52" s="20"/>
      <c r="E52" s="20"/>
      <c r="F52" s="37"/>
      <c r="G52" s="37"/>
      <c r="H52" s="37"/>
      <c r="I52" s="37"/>
      <c r="J52" s="37"/>
      <c r="K52" s="37"/>
    </row>
    <row r="53" spans="2:11" ht="15" customHeight="1" x14ac:dyDescent="0.25">
      <c r="B53" s="20"/>
      <c r="C53" s="20"/>
      <c r="D53" s="20"/>
      <c r="E53" s="20"/>
      <c r="F53" s="37"/>
      <c r="G53" s="37"/>
      <c r="H53" s="37"/>
      <c r="I53" s="37"/>
      <c r="J53" s="37"/>
      <c r="K53" s="37"/>
    </row>
    <row r="54" spans="2:11" ht="15" customHeight="1" x14ac:dyDescent="0.25">
      <c r="B54" s="20"/>
      <c r="C54" s="20"/>
      <c r="D54" s="20"/>
      <c r="E54" s="20"/>
      <c r="F54" s="37"/>
      <c r="G54" s="37"/>
      <c r="H54" s="37"/>
      <c r="I54" s="37"/>
      <c r="J54" s="37"/>
      <c r="K54" s="37"/>
    </row>
    <row r="55" spans="2:11" ht="15" customHeight="1" x14ac:dyDescent="0.25">
      <c r="B55" s="20"/>
      <c r="C55" s="20"/>
      <c r="D55" s="20"/>
      <c r="E55" s="20"/>
      <c r="F55" s="37"/>
      <c r="G55" s="37"/>
      <c r="H55" s="37"/>
      <c r="I55" s="37"/>
      <c r="J55" s="37"/>
      <c r="K55" s="37"/>
    </row>
    <row r="56" spans="2:11" ht="15" customHeight="1" x14ac:dyDescent="0.25">
      <c r="B56" s="20"/>
      <c r="C56" s="20"/>
      <c r="D56" s="20"/>
      <c r="E56" s="20"/>
      <c r="F56" s="37"/>
      <c r="G56" s="37"/>
      <c r="H56" s="37"/>
      <c r="I56" s="37"/>
      <c r="J56" s="37"/>
      <c r="K56" s="37"/>
    </row>
    <row r="57" spans="2:11" ht="15" customHeight="1" x14ac:dyDescent="0.25">
      <c r="B57" s="20"/>
      <c r="C57" s="20"/>
      <c r="D57" s="20"/>
      <c r="E57" s="20"/>
      <c r="F57" s="37"/>
      <c r="G57" s="37"/>
      <c r="H57" s="37"/>
      <c r="I57" s="37"/>
      <c r="J57" s="37"/>
      <c r="K57" s="37"/>
    </row>
    <row r="58" spans="2:11" ht="15" customHeight="1" x14ac:dyDescent="0.25">
      <c r="B58" s="20"/>
      <c r="C58" s="20"/>
      <c r="D58" s="20"/>
      <c r="E58" s="20"/>
      <c r="F58" s="37"/>
      <c r="G58" s="37"/>
      <c r="H58" s="37"/>
      <c r="I58" s="37"/>
      <c r="J58" s="37"/>
      <c r="K58" s="37"/>
    </row>
    <row r="59" spans="2:11" ht="15" customHeight="1" x14ac:dyDescent="0.25">
      <c r="B59" s="20"/>
      <c r="C59" s="20"/>
      <c r="D59" s="20"/>
      <c r="E59" s="20"/>
      <c r="F59" s="37"/>
      <c r="G59" s="37"/>
      <c r="H59" s="37"/>
      <c r="I59" s="37"/>
      <c r="J59" s="37"/>
      <c r="K59" s="37"/>
    </row>
    <row r="60" spans="2:11" ht="15" customHeight="1" x14ac:dyDescent="0.25">
      <c r="B60" s="30"/>
      <c r="C60" s="30"/>
      <c r="D60" s="30"/>
      <c r="E60" s="30"/>
      <c r="F60" s="37"/>
      <c r="G60" s="37"/>
      <c r="H60" s="37"/>
      <c r="I60" s="37"/>
      <c r="J60" s="37"/>
      <c r="K60" s="37"/>
    </row>
    <row r="61" spans="2:11" ht="15" customHeight="1" x14ac:dyDescent="0.25">
      <c r="B61" s="30"/>
      <c r="C61" s="30"/>
      <c r="D61" s="30"/>
      <c r="E61" s="30"/>
      <c r="F61" s="37"/>
      <c r="G61" s="37"/>
      <c r="H61" s="37"/>
      <c r="I61" s="37"/>
      <c r="J61" s="37"/>
      <c r="K61" s="37"/>
    </row>
    <row r="62" spans="2:11" ht="15" customHeight="1" x14ac:dyDescent="0.25">
      <c r="B62" s="21"/>
      <c r="C62" s="21"/>
      <c r="D62" s="21"/>
      <c r="E62" s="30"/>
      <c r="F62" s="37"/>
      <c r="G62" s="37"/>
      <c r="H62" s="37"/>
      <c r="I62" s="37"/>
      <c r="J62" s="37"/>
      <c r="K62" s="37"/>
    </row>
    <row r="63" spans="2:11" ht="15" customHeight="1" x14ac:dyDescent="0.25">
      <c r="B63" s="13"/>
      <c r="C63" s="13"/>
      <c r="D63" s="13"/>
      <c r="E63" s="13"/>
      <c r="F63" s="37"/>
      <c r="G63" s="37"/>
      <c r="H63" s="37"/>
      <c r="I63" s="37"/>
      <c r="J63" s="37"/>
      <c r="K63" s="37"/>
    </row>
    <row r="64" spans="2:11" ht="15" customHeight="1" x14ac:dyDescent="0.25">
      <c r="B64" s="13"/>
      <c r="C64" s="13"/>
      <c r="D64" s="13"/>
      <c r="E64" s="13"/>
      <c r="F64" s="37"/>
      <c r="G64" s="37"/>
      <c r="H64" s="37"/>
      <c r="I64" s="37"/>
      <c r="J64" s="37"/>
      <c r="K64" s="37"/>
    </row>
    <row r="65" spans="2:11" ht="15" customHeight="1" x14ac:dyDescent="0.25">
      <c r="B65" s="13"/>
      <c r="C65" s="13"/>
      <c r="D65" s="13"/>
      <c r="E65" s="13"/>
      <c r="F65" s="37"/>
      <c r="G65" s="37"/>
      <c r="H65" s="37"/>
      <c r="I65" s="37"/>
      <c r="J65" s="37"/>
      <c r="K65" s="37"/>
    </row>
    <row r="66" spans="2:11" ht="15" customHeight="1" x14ac:dyDescent="0.25">
      <c r="F66" s="37"/>
      <c r="G66" s="37"/>
      <c r="H66" s="37"/>
      <c r="I66" s="37"/>
      <c r="J66" s="37"/>
      <c r="K66" s="37"/>
    </row>
    <row r="67" spans="2:11" ht="15" customHeight="1" x14ac:dyDescent="0.25">
      <c r="F67" s="37"/>
      <c r="G67" s="37"/>
      <c r="H67" s="37"/>
      <c r="I67" s="37"/>
      <c r="J67" s="37"/>
      <c r="K67" s="37"/>
    </row>
    <row r="68" spans="2:11" ht="15" customHeight="1" x14ac:dyDescent="0.25">
      <c r="F68" s="37"/>
      <c r="G68" s="37"/>
      <c r="H68" s="37"/>
      <c r="I68" s="37"/>
      <c r="J68" s="37"/>
      <c r="K68" s="37"/>
    </row>
    <row r="69" spans="2:11" ht="15" customHeight="1" x14ac:dyDescent="0.25">
      <c r="F69" s="37"/>
      <c r="G69" s="37"/>
      <c r="H69" s="37"/>
      <c r="I69" s="37"/>
      <c r="J69" s="37"/>
      <c r="K69" s="37"/>
    </row>
    <row r="70" spans="2:11" ht="15" customHeight="1" x14ac:dyDescent="0.25">
      <c r="F70" s="37"/>
      <c r="G70" s="37"/>
      <c r="H70" s="37"/>
      <c r="I70" s="37"/>
      <c r="J70" s="37"/>
      <c r="K70" s="37"/>
    </row>
    <row r="71" spans="2:11" ht="15" customHeight="1" x14ac:dyDescent="0.25">
      <c r="F71" s="37"/>
      <c r="G71" s="37"/>
      <c r="H71" s="37"/>
      <c r="I71" s="37"/>
      <c r="J71" s="37"/>
      <c r="K71" s="37"/>
    </row>
    <row r="72" spans="2:11" ht="15" customHeight="1" x14ac:dyDescent="0.25">
      <c r="F72" s="37"/>
      <c r="G72" s="37"/>
      <c r="H72" s="37"/>
      <c r="I72" s="37"/>
      <c r="J72" s="37"/>
      <c r="K72" s="37"/>
    </row>
    <row r="73" spans="2:11" ht="15" customHeight="1" x14ac:dyDescent="0.25">
      <c r="F73" s="37"/>
      <c r="G73" s="37"/>
      <c r="H73" s="37"/>
      <c r="I73" s="37"/>
      <c r="J73" s="37"/>
      <c r="K73" s="37"/>
    </row>
    <row r="74" spans="2:11" ht="15" customHeight="1" x14ac:dyDescent="0.25">
      <c r="F74" s="37"/>
      <c r="G74" s="37"/>
      <c r="H74" s="37"/>
      <c r="I74" s="37"/>
      <c r="J74" s="37"/>
      <c r="K74" s="37"/>
    </row>
    <row r="75" spans="2:11" ht="15" customHeight="1" x14ac:dyDescent="0.25">
      <c r="F75" s="37"/>
      <c r="G75" s="37"/>
      <c r="H75" s="37"/>
      <c r="I75" s="37"/>
      <c r="J75" s="37"/>
      <c r="K75" s="37"/>
    </row>
    <row r="76" spans="2:11" ht="15" customHeight="1" x14ac:dyDescent="0.25">
      <c r="F76" s="37"/>
      <c r="G76" s="37"/>
      <c r="H76" s="37"/>
      <c r="I76" s="37"/>
      <c r="J76" s="37"/>
      <c r="K76" s="37"/>
    </row>
    <row r="77" spans="2:11" ht="15" customHeight="1" x14ac:dyDescent="0.25">
      <c r="F77" s="37"/>
      <c r="G77" s="37"/>
      <c r="H77" s="37"/>
      <c r="I77" s="37"/>
      <c r="J77" s="37"/>
      <c r="K77" s="37"/>
    </row>
    <row r="78" spans="2:11" ht="15" customHeight="1" x14ac:dyDescent="0.25">
      <c r="F78" s="37"/>
      <c r="G78" s="37"/>
      <c r="H78" s="37"/>
      <c r="I78" s="37"/>
      <c r="J78" s="37"/>
      <c r="K78" s="37"/>
    </row>
    <row r="79" spans="2:11" ht="15" customHeight="1" x14ac:dyDescent="0.25">
      <c r="F79" s="37"/>
      <c r="G79" s="37"/>
      <c r="H79" s="37"/>
      <c r="I79" s="37"/>
      <c r="J79" s="37"/>
      <c r="K79" s="37"/>
    </row>
    <row r="80" spans="2:11" ht="15" customHeight="1" x14ac:dyDescent="0.25">
      <c r="F80" s="37"/>
      <c r="G80" s="37"/>
      <c r="H80" s="37"/>
      <c r="I80" s="37"/>
      <c r="J80" s="37"/>
      <c r="K80" s="37"/>
    </row>
    <row r="81" spans="6:11" ht="15" customHeight="1" x14ac:dyDescent="0.25">
      <c r="F81" s="37"/>
      <c r="G81" s="37"/>
      <c r="H81" s="37"/>
      <c r="I81" s="37"/>
      <c r="J81" s="37"/>
      <c r="K81" s="37"/>
    </row>
    <row r="82" spans="6:11" ht="15" customHeight="1" x14ac:dyDescent="0.25">
      <c r="F82" s="37"/>
      <c r="G82" s="37"/>
      <c r="H82" s="37"/>
      <c r="I82" s="37"/>
      <c r="J82" s="37"/>
      <c r="K82" s="37"/>
    </row>
    <row r="83" spans="6:11" ht="15.75" x14ac:dyDescent="0.25">
      <c r="F83" s="37"/>
      <c r="G83" s="37"/>
      <c r="H83" s="37"/>
      <c r="I83" s="37"/>
      <c r="J83" s="37"/>
      <c r="K83" s="37"/>
    </row>
    <row r="84" spans="6:11" ht="15.75" x14ac:dyDescent="0.25">
      <c r="F84" s="37"/>
      <c r="G84" s="37"/>
      <c r="H84" s="37"/>
      <c r="I84" s="37"/>
      <c r="J84" s="37"/>
      <c r="K84" s="37"/>
    </row>
    <row r="85" spans="6:11" ht="15.75" x14ac:dyDescent="0.25">
      <c r="F85" s="37"/>
      <c r="G85" s="37"/>
      <c r="H85" s="37"/>
      <c r="I85" s="37"/>
      <c r="J85" s="37"/>
      <c r="K85" s="37"/>
    </row>
    <row r="86" spans="6:11" ht="15.75" x14ac:dyDescent="0.25">
      <c r="F86" s="37"/>
      <c r="G86" s="37"/>
      <c r="H86" s="37"/>
      <c r="I86" s="37"/>
      <c r="J86" s="37"/>
      <c r="K86" s="37"/>
    </row>
    <row r="87" spans="6:11" ht="15.75" x14ac:dyDescent="0.25">
      <c r="F87" s="37"/>
      <c r="G87" s="37"/>
      <c r="H87" s="37"/>
      <c r="I87" s="37"/>
      <c r="J87" s="37"/>
      <c r="K87" s="37"/>
    </row>
    <row r="88" spans="6:11" ht="15.75" x14ac:dyDescent="0.25">
      <c r="F88" s="37"/>
      <c r="G88" s="37"/>
      <c r="H88" s="37"/>
      <c r="I88" s="37"/>
      <c r="J88" s="37"/>
      <c r="K88" s="37"/>
    </row>
    <row r="89" spans="6:11" ht="15.75" x14ac:dyDescent="0.25">
      <c r="F89" s="37"/>
      <c r="G89" s="37"/>
      <c r="H89" s="37"/>
      <c r="I89" s="37"/>
      <c r="J89" s="37"/>
      <c r="K89" s="37"/>
    </row>
    <row r="90" spans="6:11" ht="15.75" x14ac:dyDescent="0.25">
      <c r="F90" s="37"/>
      <c r="G90" s="37"/>
      <c r="H90" s="37"/>
      <c r="I90" s="37"/>
      <c r="J90" s="37"/>
      <c r="K90" s="37"/>
    </row>
    <row r="91" spans="6:11" ht="15.75" x14ac:dyDescent="0.25">
      <c r="F91" s="37"/>
      <c r="G91" s="37"/>
      <c r="H91" s="37"/>
      <c r="I91" s="37"/>
      <c r="J91" s="37"/>
      <c r="K91" s="37"/>
    </row>
    <row r="92" spans="6:11" ht="15.75" x14ac:dyDescent="0.25">
      <c r="F92" s="37"/>
      <c r="G92" s="37"/>
      <c r="H92" s="37"/>
      <c r="I92" s="37"/>
      <c r="J92" s="37"/>
      <c r="K92" s="37"/>
    </row>
    <row r="93" spans="6:11" ht="15.75" x14ac:dyDescent="0.25">
      <c r="F93" s="37"/>
      <c r="G93" s="37"/>
      <c r="H93" s="37"/>
      <c r="I93" s="37"/>
      <c r="J93" s="37"/>
      <c r="K93" s="37"/>
    </row>
    <row r="94" spans="6:11" ht="15.75" x14ac:dyDescent="0.25">
      <c r="F94" s="37"/>
      <c r="G94" s="37"/>
      <c r="H94" s="37"/>
      <c r="I94" s="37"/>
      <c r="J94" s="37"/>
      <c r="K94" s="37"/>
    </row>
    <row r="95" spans="6:11" ht="15.75" x14ac:dyDescent="0.25">
      <c r="F95" s="37"/>
      <c r="G95" s="37"/>
      <c r="H95" s="37"/>
      <c r="I95" s="37"/>
      <c r="J95" s="37"/>
      <c r="K95" s="37"/>
    </row>
    <row r="96" spans="6:11" ht="15.75" x14ac:dyDescent="0.25">
      <c r="F96" s="37"/>
      <c r="G96" s="37"/>
      <c r="H96" s="37"/>
      <c r="I96" s="37"/>
      <c r="J96" s="37"/>
      <c r="K96" s="37"/>
    </row>
    <row r="97" spans="6:11" ht="15.75" x14ac:dyDescent="0.25">
      <c r="F97" s="37"/>
      <c r="G97" s="37"/>
      <c r="H97" s="37"/>
      <c r="I97" s="37"/>
      <c r="J97" s="37"/>
      <c r="K97" s="37"/>
    </row>
    <row r="98" spans="6:11" ht="15.75" x14ac:dyDescent="0.25">
      <c r="F98" s="37"/>
      <c r="G98" s="37"/>
      <c r="H98" s="37"/>
      <c r="I98" s="37"/>
      <c r="J98" s="37"/>
      <c r="K98" s="37"/>
    </row>
    <row r="99" spans="6:11" ht="15.75" x14ac:dyDescent="0.25">
      <c r="F99" s="37"/>
      <c r="G99" s="37"/>
      <c r="H99" s="37"/>
      <c r="I99" s="37"/>
      <c r="J99" s="37"/>
      <c r="K99" s="37"/>
    </row>
    <row r="100" spans="6:11" ht="15.75" x14ac:dyDescent="0.25">
      <c r="F100" s="37"/>
      <c r="G100" s="37"/>
      <c r="H100" s="37"/>
      <c r="I100" s="37"/>
      <c r="J100" s="37"/>
      <c r="K100" s="37"/>
    </row>
    <row r="101" spans="6:11" ht="15.75" x14ac:dyDescent="0.25">
      <c r="F101" s="37"/>
      <c r="G101" s="37"/>
      <c r="H101" s="37"/>
      <c r="I101" s="37"/>
      <c r="J101" s="37"/>
      <c r="K101" s="37"/>
    </row>
    <row r="102" spans="6:11" ht="15.75" x14ac:dyDescent="0.25">
      <c r="F102" s="37"/>
      <c r="G102" s="37"/>
      <c r="H102" s="37"/>
      <c r="I102" s="37"/>
      <c r="J102" s="37"/>
      <c r="K102" s="37"/>
    </row>
    <row r="103" spans="6:11" ht="15.75" x14ac:dyDescent="0.25">
      <c r="F103" s="37"/>
      <c r="G103" s="37"/>
      <c r="H103" s="37"/>
      <c r="I103" s="37"/>
      <c r="J103" s="37"/>
      <c r="K103" s="37"/>
    </row>
    <row r="104" spans="6:11" ht="15.75" x14ac:dyDescent="0.25">
      <c r="F104" s="37"/>
      <c r="G104" s="37"/>
      <c r="H104" s="37"/>
      <c r="I104" s="37"/>
      <c r="J104" s="37"/>
      <c r="K104" s="37"/>
    </row>
    <row r="105" spans="6:11" ht="15.75" x14ac:dyDescent="0.25">
      <c r="F105" s="37"/>
      <c r="G105" s="37"/>
      <c r="H105" s="37"/>
      <c r="I105" s="37"/>
      <c r="J105" s="37"/>
      <c r="K105" s="37"/>
    </row>
    <row r="106" spans="6:11" ht="15.75" x14ac:dyDescent="0.25">
      <c r="F106" s="37"/>
      <c r="G106" s="37"/>
      <c r="H106" s="37"/>
      <c r="I106" s="37"/>
      <c r="J106" s="37"/>
      <c r="K106" s="37"/>
    </row>
    <row r="107" spans="6:11" ht="15.75" x14ac:dyDescent="0.25">
      <c r="F107" s="37"/>
      <c r="G107" s="37"/>
      <c r="H107" s="37"/>
      <c r="I107" s="37"/>
      <c r="J107" s="37"/>
      <c r="K107" s="37"/>
    </row>
    <row r="108" spans="6:11" ht="15.75" x14ac:dyDescent="0.25">
      <c r="F108" s="37"/>
      <c r="G108" s="37"/>
      <c r="H108" s="37"/>
      <c r="I108" s="37"/>
      <c r="J108" s="37"/>
      <c r="K108" s="37"/>
    </row>
    <row r="109" spans="6:11" ht="15.75" x14ac:dyDescent="0.25">
      <c r="F109" s="37"/>
      <c r="G109" s="37"/>
      <c r="H109" s="37"/>
      <c r="I109" s="37"/>
      <c r="J109" s="37"/>
      <c r="K109" s="37"/>
    </row>
    <row r="110" spans="6:11" ht="15.75" x14ac:dyDescent="0.25">
      <c r="F110" s="37"/>
      <c r="G110" s="37"/>
      <c r="H110" s="37"/>
      <c r="I110" s="37"/>
      <c r="J110" s="37"/>
      <c r="K110" s="37"/>
    </row>
    <row r="111" spans="6:11" ht="15.75" x14ac:dyDescent="0.25">
      <c r="F111" s="37"/>
      <c r="G111" s="37"/>
      <c r="H111" s="37"/>
      <c r="I111" s="37"/>
      <c r="J111" s="37"/>
      <c r="K111" s="37"/>
    </row>
    <row r="112" spans="6:11" ht="15.75" x14ac:dyDescent="0.25">
      <c r="F112" s="37"/>
      <c r="G112" s="37"/>
      <c r="H112" s="37"/>
      <c r="I112" s="37"/>
      <c r="J112" s="37"/>
      <c r="K112" s="37"/>
    </row>
    <row r="113" spans="6:11" ht="15.75" x14ac:dyDescent="0.25">
      <c r="F113" s="37"/>
      <c r="G113" s="37"/>
      <c r="H113" s="37"/>
      <c r="I113" s="37"/>
      <c r="J113" s="37"/>
      <c r="K113" s="37"/>
    </row>
    <row r="114" spans="6:11" ht="15.75" x14ac:dyDescent="0.25">
      <c r="F114" s="37"/>
      <c r="G114" s="37"/>
      <c r="H114" s="37"/>
      <c r="I114" s="37"/>
      <c r="J114" s="37"/>
      <c r="K114" s="37"/>
    </row>
    <row r="115" spans="6:11" ht="15.75" x14ac:dyDescent="0.25">
      <c r="F115" s="37"/>
      <c r="G115" s="37"/>
      <c r="H115" s="37"/>
      <c r="I115" s="37"/>
      <c r="J115" s="37"/>
      <c r="K115" s="37"/>
    </row>
    <row r="116" spans="6:11" ht="15.75" x14ac:dyDescent="0.25">
      <c r="F116" s="37"/>
      <c r="G116" s="37"/>
      <c r="H116" s="37"/>
      <c r="I116" s="37"/>
      <c r="J116" s="37"/>
      <c r="K116" s="37"/>
    </row>
    <row r="117" spans="6:11" ht="15.75" x14ac:dyDescent="0.25">
      <c r="F117" s="37"/>
      <c r="G117" s="37"/>
      <c r="H117" s="37"/>
      <c r="I117" s="37"/>
      <c r="J117" s="37"/>
      <c r="K117" s="37"/>
    </row>
    <row r="118" spans="6:11" ht="15.75" x14ac:dyDescent="0.25">
      <c r="F118" s="37"/>
      <c r="G118" s="37"/>
      <c r="H118" s="37"/>
      <c r="I118" s="37"/>
      <c r="J118" s="37"/>
      <c r="K118" s="37"/>
    </row>
    <row r="119" spans="6:11" ht="15.75" x14ac:dyDescent="0.25">
      <c r="F119" s="37"/>
      <c r="G119" s="37"/>
      <c r="H119" s="37"/>
      <c r="I119" s="37"/>
      <c r="J119" s="37"/>
      <c r="K119" s="37"/>
    </row>
    <row r="120" spans="6:11" ht="15.75" x14ac:dyDescent="0.25">
      <c r="F120" s="37"/>
      <c r="G120" s="37"/>
      <c r="H120" s="37"/>
      <c r="I120" s="37"/>
      <c r="J120" s="37"/>
      <c r="K120" s="37"/>
    </row>
    <row r="121" spans="6:11" ht="15.75" x14ac:dyDescent="0.25">
      <c r="F121" s="37"/>
      <c r="G121" s="37"/>
      <c r="H121" s="37"/>
      <c r="I121" s="37"/>
      <c r="J121" s="37"/>
      <c r="K121" s="37"/>
    </row>
    <row r="122" spans="6:11" ht="15.75" x14ac:dyDescent="0.25">
      <c r="F122" s="37"/>
      <c r="G122" s="37"/>
      <c r="H122" s="37"/>
      <c r="I122" s="37"/>
      <c r="J122" s="37"/>
      <c r="K122" s="37"/>
    </row>
    <row r="123" spans="6:11" ht="15.75" x14ac:dyDescent="0.25">
      <c r="F123" s="37"/>
      <c r="G123" s="37"/>
      <c r="H123" s="37"/>
      <c r="I123" s="37"/>
      <c r="J123" s="37"/>
      <c r="K123" s="37"/>
    </row>
    <row r="124" spans="6:11" ht="15.75" x14ac:dyDescent="0.25">
      <c r="F124" s="37"/>
      <c r="G124" s="37"/>
      <c r="H124" s="37"/>
      <c r="I124" s="37"/>
      <c r="J124" s="37"/>
      <c r="K124" s="37"/>
    </row>
    <row r="125" spans="6:11" ht="15.75" x14ac:dyDescent="0.25">
      <c r="F125" s="37"/>
      <c r="G125" s="37"/>
      <c r="H125" s="37"/>
      <c r="I125" s="37"/>
      <c r="J125" s="37"/>
      <c r="K125" s="37"/>
    </row>
    <row r="126" spans="6:11" ht="15.75" x14ac:dyDescent="0.25">
      <c r="F126" s="37"/>
      <c r="G126" s="37"/>
      <c r="H126" s="37"/>
      <c r="I126" s="37"/>
      <c r="J126" s="37"/>
      <c r="K126" s="37"/>
    </row>
    <row r="127" spans="6:11" ht="15.75" x14ac:dyDescent="0.25">
      <c r="F127" s="37"/>
      <c r="G127" s="37"/>
      <c r="H127" s="37"/>
      <c r="I127" s="37"/>
      <c r="J127" s="37"/>
      <c r="K127" s="37"/>
    </row>
    <row r="128" spans="6:11" ht="15.75" x14ac:dyDescent="0.25">
      <c r="F128" s="37"/>
      <c r="G128" s="37"/>
      <c r="H128" s="37"/>
      <c r="I128" s="37"/>
      <c r="J128" s="37"/>
      <c r="K128" s="37"/>
    </row>
    <row r="129" spans="6:11" ht="15.75" x14ac:dyDescent="0.25">
      <c r="F129" s="37"/>
      <c r="G129" s="37"/>
      <c r="H129" s="37"/>
      <c r="I129" s="37"/>
      <c r="J129" s="37"/>
      <c r="K129" s="37"/>
    </row>
    <row r="130" spans="6:11" ht="15.75" x14ac:dyDescent="0.25">
      <c r="F130" s="37"/>
      <c r="G130" s="37"/>
      <c r="H130" s="37"/>
      <c r="I130" s="37"/>
      <c r="J130" s="37"/>
      <c r="K130" s="37"/>
    </row>
    <row r="131" spans="6:11" ht="15.75" x14ac:dyDescent="0.25">
      <c r="F131" s="37"/>
      <c r="G131" s="37"/>
      <c r="H131" s="37"/>
      <c r="I131" s="37"/>
      <c r="J131" s="37"/>
      <c r="K131" s="37"/>
    </row>
    <row r="132" spans="6:11" ht="15.75" x14ac:dyDescent="0.25">
      <c r="F132" s="37"/>
      <c r="G132" s="37"/>
      <c r="H132" s="37"/>
      <c r="I132" s="37"/>
      <c r="J132" s="37"/>
      <c r="K132" s="37"/>
    </row>
    <row r="133" spans="6:11" ht="15.75" x14ac:dyDescent="0.25">
      <c r="F133" s="37"/>
      <c r="G133" s="37"/>
      <c r="H133" s="37"/>
      <c r="I133" s="37"/>
      <c r="J133" s="37"/>
      <c r="K133" s="37"/>
    </row>
    <row r="134" spans="6:11" ht="15.75" x14ac:dyDescent="0.25">
      <c r="F134" s="37"/>
      <c r="G134" s="37"/>
      <c r="H134" s="37"/>
      <c r="I134" s="37"/>
      <c r="J134" s="37"/>
      <c r="K134" s="37"/>
    </row>
    <row r="135" spans="6:11" ht="15.75" x14ac:dyDescent="0.25">
      <c r="F135" s="37"/>
      <c r="G135" s="37"/>
      <c r="H135" s="37"/>
      <c r="I135" s="37"/>
      <c r="J135" s="37"/>
      <c r="K135" s="37"/>
    </row>
    <row r="136" spans="6:11" ht="15.75" x14ac:dyDescent="0.25">
      <c r="F136" s="37"/>
      <c r="G136" s="37"/>
      <c r="H136" s="37"/>
      <c r="I136" s="37"/>
      <c r="J136" s="37"/>
      <c r="K136" s="37"/>
    </row>
    <row r="137" spans="6:11" ht="15.75" x14ac:dyDescent="0.25">
      <c r="F137" s="37"/>
      <c r="G137" s="37"/>
      <c r="H137" s="37"/>
      <c r="I137" s="37"/>
      <c r="J137" s="37"/>
      <c r="K137" s="37"/>
    </row>
    <row r="138" spans="6:11" ht="15.75" x14ac:dyDescent="0.25">
      <c r="F138" s="37"/>
      <c r="G138" s="37"/>
      <c r="H138" s="37"/>
      <c r="I138" s="37"/>
      <c r="J138" s="37"/>
      <c r="K138" s="37"/>
    </row>
    <row r="139" spans="6:11" ht="15.75" x14ac:dyDescent="0.25">
      <c r="F139" s="37"/>
      <c r="G139" s="37"/>
      <c r="H139" s="37"/>
      <c r="I139" s="37"/>
      <c r="J139" s="37"/>
      <c r="K139" s="37"/>
    </row>
    <row r="140" spans="6:11" ht="15.75" x14ac:dyDescent="0.25">
      <c r="F140" s="37"/>
      <c r="G140" s="37"/>
      <c r="H140" s="37"/>
      <c r="I140" s="37"/>
      <c r="J140" s="37"/>
      <c r="K140" s="37"/>
    </row>
    <row r="141" spans="6:11" ht="15.75" x14ac:dyDescent="0.25">
      <c r="F141" s="37"/>
      <c r="G141" s="37"/>
      <c r="H141" s="37"/>
      <c r="I141" s="37"/>
      <c r="J141" s="37"/>
      <c r="K141" s="37"/>
    </row>
    <row r="142" spans="6:11" ht="15.75" x14ac:dyDescent="0.25">
      <c r="F142" s="37"/>
      <c r="G142" s="37"/>
      <c r="H142" s="37"/>
      <c r="I142" s="37"/>
      <c r="J142" s="37"/>
      <c r="K142" s="37"/>
    </row>
    <row r="143" spans="6:11" ht="15.75" x14ac:dyDescent="0.25">
      <c r="F143" s="37"/>
      <c r="G143" s="37"/>
      <c r="H143" s="37"/>
      <c r="I143" s="37"/>
      <c r="J143" s="37"/>
      <c r="K143" s="37"/>
    </row>
    <row r="144" spans="6:11" ht="15.75" x14ac:dyDescent="0.25">
      <c r="F144" s="37"/>
      <c r="G144" s="37"/>
      <c r="H144" s="37"/>
      <c r="I144" s="37"/>
      <c r="J144" s="37"/>
      <c r="K144" s="37"/>
    </row>
    <row r="145" spans="6:11" ht="15.75" x14ac:dyDescent="0.25">
      <c r="F145" s="37"/>
      <c r="G145" s="37"/>
      <c r="H145" s="37"/>
      <c r="I145" s="37"/>
      <c r="J145" s="37"/>
      <c r="K145" s="37"/>
    </row>
    <row r="146" spans="6:11" ht="15.75" x14ac:dyDescent="0.25">
      <c r="F146" s="37"/>
      <c r="G146" s="37"/>
      <c r="H146" s="37"/>
      <c r="I146" s="37"/>
      <c r="J146" s="37"/>
      <c r="K146" s="37"/>
    </row>
    <row r="147" spans="6:11" ht="15.75" x14ac:dyDescent="0.25">
      <c r="F147" s="37"/>
      <c r="G147" s="37"/>
      <c r="H147" s="37"/>
      <c r="I147" s="37"/>
      <c r="J147" s="37"/>
      <c r="K147" s="37"/>
    </row>
    <row r="148" spans="6:11" ht="15.75" x14ac:dyDescent="0.25">
      <c r="F148" s="37"/>
      <c r="G148" s="37"/>
      <c r="H148" s="37"/>
      <c r="I148" s="37"/>
      <c r="J148" s="37"/>
      <c r="K148" s="37"/>
    </row>
    <row r="149" spans="6:11" ht="15.75" x14ac:dyDescent="0.25">
      <c r="F149" s="37"/>
      <c r="G149" s="37"/>
      <c r="H149" s="37"/>
      <c r="I149" s="37"/>
      <c r="J149" s="37"/>
      <c r="K149" s="37"/>
    </row>
    <row r="150" spans="6:11" ht="15.75" x14ac:dyDescent="0.25">
      <c r="F150" s="37"/>
      <c r="G150" s="37"/>
      <c r="H150" s="37"/>
      <c r="I150" s="37"/>
      <c r="J150" s="37"/>
      <c r="K150" s="37"/>
    </row>
    <row r="151" spans="6:11" ht="15.75" x14ac:dyDescent="0.25">
      <c r="F151" s="37"/>
      <c r="G151" s="37"/>
      <c r="H151" s="37"/>
      <c r="I151" s="37"/>
      <c r="J151" s="37"/>
      <c r="K151" s="37"/>
    </row>
    <row r="152" spans="6:11" ht="15.75" x14ac:dyDescent="0.25">
      <c r="F152" s="37"/>
      <c r="G152" s="37"/>
      <c r="H152" s="37"/>
      <c r="I152" s="37"/>
      <c r="J152" s="37"/>
      <c r="K152" s="37"/>
    </row>
    <row r="153" spans="6:11" ht="15.75" x14ac:dyDescent="0.25">
      <c r="F153" s="37"/>
      <c r="G153" s="37"/>
      <c r="H153" s="37"/>
      <c r="I153" s="37"/>
      <c r="J153" s="37"/>
      <c r="K153" s="37"/>
    </row>
    <row r="154" spans="6:11" ht="15.75" x14ac:dyDescent="0.25">
      <c r="F154" s="37"/>
      <c r="G154" s="37"/>
      <c r="H154" s="37"/>
      <c r="I154" s="37"/>
      <c r="J154" s="37"/>
      <c r="K154" s="37"/>
    </row>
    <row r="155" spans="6:11" ht="15.75" x14ac:dyDescent="0.25">
      <c r="F155" s="37"/>
      <c r="G155" s="37"/>
      <c r="H155" s="37"/>
      <c r="I155" s="37"/>
      <c r="J155" s="37"/>
      <c r="K155" s="37"/>
    </row>
    <row r="156" spans="6:11" ht="15.75" x14ac:dyDescent="0.25">
      <c r="F156" s="37"/>
      <c r="G156" s="37"/>
      <c r="H156" s="37"/>
      <c r="I156" s="37"/>
      <c r="J156" s="37"/>
      <c r="K156" s="37"/>
    </row>
    <row r="157" spans="6:11" ht="15.75" x14ac:dyDescent="0.25">
      <c r="F157" s="37"/>
      <c r="G157" s="37"/>
      <c r="H157" s="37"/>
      <c r="I157" s="37"/>
      <c r="J157" s="37"/>
      <c r="K157" s="37"/>
    </row>
    <row r="158" spans="6:11" ht="15.75" x14ac:dyDescent="0.25">
      <c r="F158" s="37"/>
      <c r="G158" s="37"/>
      <c r="H158" s="37"/>
      <c r="I158" s="37"/>
      <c r="J158" s="37"/>
      <c r="K158" s="37"/>
    </row>
    <row r="159" spans="6:11" ht="15.75" x14ac:dyDescent="0.25">
      <c r="F159" s="37"/>
      <c r="G159" s="37"/>
      <c r="H159" s="37"/>
      <c r="I159" s="37"/>
      <c r="J159" s="37"/>
      <c r="K159" s="37"/>
    </row>
    <row r="160" spans="6:11" ht="15.75" x14ac:dyDescent="0.25">
      <c r="F160" s="37"/>
      <c r="G160" s="37"/>
      <c r="H160" s="37"/>
      <c r="I160" s="37"/>
      <c r="J160" s="37"/>
      <c r="K160" s="37"/>
    </row>
    <row r="161" spans="6:11" ht="15.75" x14ac:dyDescent="0.25">
      <c r="F161" s="37"/>
      <c r="G161" s="37"/>
      <c r="H161" s="37"/>
      <c r="I161" s="37"/>
      <c r="J161" s="37"/>
      <c r="K161" s="37"/>
    </row>
    <row r="162" spans="6:11" ht="15.75" x14ac:dyDescent="0.25">
      <c r="F162" s="37"/>
      <c r="G162" s="37"/>
      <c r="H162" s="37"/>
      <c r="I162" s="37"/>
      <c r="J162" s="37"/>
      <c r="K162" s="37"/>
    </row>
    <row r="163" spans="6:11" ht="15.75" x14ac:dyDescent="0.25">
      <c r="F163" s="37"/>
      <c r="G163" s="37"/>
      <c r="H163" s="37"/>
      <c r="I163" s="37"/>
      <c r="J163" s="37"/>
      <c r="K163" s="37"/>
    </row>
    <row r="164" spans="6:11" ht="15.75" x14ac:dyDescent="0.25">
      <c r="F164" s="37"/>
      <c r="G164" s="37"/>
      <c r="H164" s="37"/>
      <c r="I164" s="37"/>
      <c r="J164" s="37"/>
      <c r="K164" s="37"/>
    </row>
    <row r="165" spans="6:11" ht="15.75" x14ac:dyDescent="0.25">
      <c r="F165" s="37"/>
      <c r="G165" s="37"/>
      <c r="H165" s="37"/>
      <c r="I165" s="37"/>
      <c r="J165" s="37"/>
      <c r="K165" s="37"/>
    </row>
    <row r="166" spans="6:11" ht="15.75" x14ac:dyDescent="0.25">
      <c r="F166" s="37"/>
      <c r="G166" s="37"/>
      <c r="H166" s="37"/>
      <c r="I166" s="37"/>
      <c r="J166" s="37"/>
      <c r="K166" s="37"/>
    </row>
    <row r="167" spans="6:11" ht="15.75" x14ac:dyDescent="0.25">
      <c r="F167" s="37"/>
      <c r="G167" s="37"/>
      <c r="H167" s="37"/>
      <c r="I167" s="37"/>
      <c r="J167" s="37"/>
      <c r="K167" s="37"/>
    </row>
    <row r="168" spans="6:11" ht="15.75" x14ac:dyDescent="0.25">
      <c r="F168" s="37"/>
      <c r="G168" s="37"/>
      <c r="H168" s="37"/>
      <c r="I168" s="37"/>
      <c r="J168" s="37"/>
      <c r="K168" s="37"/>
    </row>
    <row r="169" spans="6:11" ht="15.75" x14ac:dyDescent="0.25">
      <c r="F169" s="37"/>
      <c r="G169" s="37"/>
      <c r="H169" s="37"/>
      <c r="I169" s="37"/>
      <c r="J169" s="37"/>
      <c r="K169" s="37"/>
    </row>
    <row r="170" spans="6:11" ht="15.75" x14ac:dyDescent="0.25">
      <c r="F170" s="37"/>
      <c r="G170" s="37"/>
      <c r="H170" s="37"/>
      <c r="I170" s="37"/>
      <c r="J170" s="37"/>
      <c r="K170" s="37"/>
    </row>
    <row r="171" spans="6:11" ht="15.75" x14ac:dyDescent="0.25">
      <c r="F171" s="37"/>
      <c r="G171" s="37"/>
      <c r="H171" s="37"/>
      <c r="I171" s="37"/>
      <c r="J171" s="37"/>
      <c r="K171" s="37"/>
    </row>
    <row r="172" spans="6:11" ht="15.75" x14ac:dyDescent="0.25">
      <c r="F172" s="37"/>
      <c r="G172" s="37"/>
      <c r="H172" s="37"/>
      <c r="I172" s="37"/>
      <c r="J172" s="37"/>
      <c r="K172" s="37"/>
    </row>
    <row r="173" spans="6:11" ht="15.75" x14ac:dyDescent="0.25">
      <c r="F173" s="37"/>
      <c r="G173" s="37"/>
      <c r="H173" s="37"/>
      <c r="I173" s="37"/>
      <c r="J173" s="37"/>
      <c r="K173" s="37"/>
    </row>
    <row r="174" spans="6:11" ht="15.75" x14ac:dyDescent="0.25">
      <c r="F174" s="37"/>
      <c r="G174" s="37"/>
      <c r="H174" s="37"/>
      <c r="I174" s="37"/>
      <c r="J174" s="37"/>
      <c r="K174" s="37"/>
    </row>
    <row r="175" spans="6:11" ht="15.75" x14ac:dyDescent="0.25">
      <c r="F175" s="37"/>
      <c r="G175" s="37"/>
      <c r="H175" s="37"/>
      <c r="I175" s="37"/>
      <c r="J175" s="37"/>
      <c r="K175" s="37"/>
    </row>
    <row r="176" spans="6:11" ht="15.75" x14ac:dyDescent="0.25">
      <c r="F176" s="37"/>
      <c r="G176" s="37"/>
      <c r="H176" s="37"/>
      <c r="I176" s="37"/>
      <c r="J176" s="37"/>
      <c r="K176" s="37"/>
    </row>
    <row r="177" spans="6:11" ht="15.75" x14ac:dyDescent="0.25">
      <c r="F177" s="37"/>
      <c r="G177" s="37"/>
      <c r="H177" s="37"/>
      <c r="I177" s="37"/>
      <c r="J177" s="37"/>
      <c r="K177" s="37"/>
    </row>
    <row r="178" spans="6:11" ht="15.75" x14ac:dyDescent="0.25">
      <c r="F178" s="37"/>
      <c r="G178" s="37"/>
      <c r="H178" s="37"/>
      <c r="I178" s="37"/>
      <c r="J178" s="37"/>
      <c r="K178" s="37"/>
    </row>
    <row r="179" spans="6:11" ht="15.75" x14ac:dyDescent="0.25">
      <c r="F179" s="37"/>
      <c r="G179" s="37"/>
      <c r="H179" s="37"/>
      <c r="I179" s="37"/>
      <c r="J179" s="37"/>
      <c r="K179" s="37"/>
    </row>
    <row r="180" spans="6:11" ht="15.75" x14ac:dyDescent="0.25">
      <c r="F180" s="37"/>
      <c r="G180" s="37"/>
      <c r="H180" s="37"/>
      <c r="I180" s="37"/>
      <c r="J180" s="37"/>
      <c r="K180" s="37"/>
    </row>
    <row r="181" spans="6:11" ht="15.75" x14ac:dyDescent="0.25">
      <c r="F181" s="37"/>
      <c r="G181" s="37"/>
      <c r="H181" s="37"/>
      <c r="I181" s="37"/>
      <c r="J181" s="37"/>
      <c r="K181" s="37"/>
    </row>
    <row r="182" spans="6:11" ht="15.75" x14ac:dyDescent="0.25">
      <c r="F182" s="37"/>
      <c r="G182" s="37"/>
      <c r="H182" s="37"/>
      <c r="I182" s="37"/>
      <c r="J182" s="37"/>
      <c r="K182" s="37"/>
    </row>
    <row r="183" spans="6:11" ht="15.75" x14ac:dyDescent="0.25">
      <c r="F183" s="37"/>
      <c r="G183" s="37"/>
      <c r="H183" s="37"/>
      <c r="I183" s="37"/>
      <c r="J183" s="37"/>
      <c r="K183" s="37"/>
    </row>
    <row r="184" spans="6:11" ht="15.75" x14ac:dyDescent="0.25">
      <c r="F184" s="37"/>
      <c r="G184" s="37"/>
      <c r="H184" s="37"/>
      <c r="I184" s="37"/>
      <c r="J184" s="37"/>
      <c r="K184" s="37"/>
    </row>
    <row r="185" spans="6:11" ht="15.75" x14ac:dyDescent="0.25">
      <c r="F185" s="37"/>
      <c r="G185" s="37"/>
      <c r="H185" s="37"/>
      <c r="I185" s="37"/>
      <c r="J185" s="37"/>
      <c r="K185" s="37"/>
    </row>
    <row r="186" spans="6:11" ht="15.75" x14ac:dyDescent="0.25">
      <c r="F186" s="37"/>
      <c r="G186" s="37"/>
      <c r="H186" s="37"/>
      <c r="I186" s="37"/>
      <c r="J186" s="37"/>
      <c r="K186" s="37"/>
    </row>
    <row r="187" spans="6:11" ht="15.75" x14ac:dyDescent="0.25">
      <c r="F187" s="37"/>
      <c r="G187" s="37"/>
      <c r="H187" s="37"/>
      <c r="I187" s="37"/>
      <c r="J187" s="37"/>
      <c r="K187" s="37"/>
    </row>
  </sheetData>
  <sheetProtection algorithmName="SHA-512" hashValue="e+sjerQ1VtRGbU+RVwXkjleDbwY/WOKhdtoxA4xDotjSEfe21BMa7mRq5RoIOu2eT3BC2gXzuMRJmEcceAtDHQ==" saltValue="lgJuEMxhlzgpzWtgWvhvGw==" spinCount="100000" sheet="1" objects="1" scenarios="1"/>
  <pageMargins left="0.7" right="0.7" top="0.98479166666666662" bottom="0.75" header="0.3" footer="0.3"/>
  <pageSetup scale="61" fitToHeight="0" orientation="landscape" r:id="rId1"/>
  <headerFooter>
    <oddFooter>&amp;L&amp;"Avenir LT Std 55 Roman,Regular"&amp;12&amp;K000000FINAL August 7, 2020&amp;C&amp;"Avenir LT Std 55 Roman,Regular"&amp;12Page &amp;P of &amp;N&amp;R&amp;"Avenir LT Std 55 Roman,Regular"&amp;12&amp;K000000&amp;A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sheetPr>
  <dimension ref="A1:H92"/>
  <sheetViews>
    <sheetView showGridLines="0" zoomScaleNormal="100" workbookViewId="0"/>
  </sheetViews>
  <sheetFormatPr defaultColWidth="9.140625" defaultRowHeight="15" x14ac:dyDescent="0.25"/>
  <cols>
    <col min="1" max="1" width="4.28515625" style="9" customWidth="1"/>
    <col min="2" max="2" width="32.28515625" style="9" customWidth="1"/>
    <col min="3" max="3" width="25.7109375" style="9" customWidth="1"/>
    <col min="4" max="6" width="48.5703125" style="9" customWidth="1"/>
    <col min="7" max="7" width="16.85546875" style="9" customWidth="1"/>
    <col min="8" max="8" width="14.140625" style="9" customWidth="1"/>
    <col min="9" max="9" width="31.7109375" style="9" customWidth="1"/>
    <col min="10" max="16384" width="9.140625" style="9"/>
  </cols>
  <sheetData>
    <row r="1" spans="1:6" ht="18.75" customHeight="1" x14ac:dyDescent="0.25">
      <c r="A1" s="244"/>
      <c r="B1" s="244"/>
      <c r="C1" s="244"/>
      <c r="D1" s="244"/>
      <c r="E1" s="244"/>
      <c r="F1" s="244"/>
    </row>
    <row r="2" spans="1:6" ht="15" customHeight="1" x14ac:dyDescent="0.3">
      <c r="A2" s="251"/>
      <c r="B2" s="251"/>
      <c r="C2" s="251"/>
      <c r="D2" s="251"/>
      <c r="E2" s="251"/>
      <c r="F2" s="251"/>
    </row>
    <row r="3" spans="1:6" ht="18.75" customHeight="1" x14ac:dyDescent="0.25">
      <c r="A3" s="244"/>
      <c r="B3" s="244"/>
      <c r="C3" s="244"/>
      <c r="D3" s="244"/>
      <c r="E3" s="244"/>
      <c r="F3" s="244"/>
    </row>
    <row r="4" spans="1:6" ht="18.75" customHeight="1" x14ac:dyDescent="0.25">
      <c r="A4" s="243"/>
      <c r="B4" s="243"/>
      <c r="C4" s="243"/>
      <c r="D4" s="243"/>
      <c r="E4" s="243"/>
      <c r="F4" s="243"/>
    </row>
    <row r="5" spans="1:6" ht="15" customHeight="1" x14ac:dyDescent="0.25">
      <c r="A5" s="242"/>
      <c r="B5" s="242"/>
      <c r="C5" s="242"/>
      <c r="D5" s="242"/>
      <c r="E5" s="242"/>
      <c r="F5" s="242"/>
    </row>
    <row r="6" spans="1:6" ht="15" customHeight="1" x14ac:dyDescent="0.25">
      <c r="A6" s="222"/>
      <c r="B6" s="180"/>
      <c r="C6" s="180"/>
      <c r="D6" s="180"/>
      <c r="E6" s="180"/>
      <c r="F6" s="180"/>
    </row>
    <row r="7" spans="1:6" ht="18.75" customHeight="1" x14ac:dyDescent="0.25">
      <c r="A7" s="244"/>
      <c r="B7" s="244"/>
      <c r="C7" s="244"/>
      <c r="D7" s="244"/>
      <c r="E7" s="244"/>
      <c r="F7" s="244"/>
    </row>
    <row r="8" spans="1:6" ht="15" customHeight="1" x14ac:dyDescent="0.3">
      <c r="A8" s="251"/>
      <c r="B8" s="251"/>
      <c r="C8" s="251"/>
      <c r="D8" s="251"/>
      <c r="E8" s="251"/>
      <c r="F8" s="251"/>
    </row>
    <row r="9" spans="1:6" ht="15" customHeight="1" x14ac:dyDescent="0.25">
      <c r="A9" s="340" t="s">
        <v>432</v>
      </c>
      <c r="B9" s="340"/>
      <c r="C9" s="340"/>
      <c r="D9" s="340"/>
      <c r="E9" s="340"/>
      <c r="F9" s="340"/>
    </row>
    <row r="10" spans="1:6" ht="15" customHeight="1" x14ac:dyDescent="0.25">
      <c r="A10" s="340" t="s">
        <v>433</v>
      </c>
      <c r="B10" s="340"/>
      <c r="C10" s="340"/>
      <c r="D10" s="340"/>
      <c r="E10" s="340"/>
      <c r="F10" s="340"/>
    </row>
    <row r="11" spans="1:6" ht="15" customHeight="1" x14ac:dyDescent="0.25">
      <c r="A11" s="340" t="s">
        <v>434</v>
      </c>
      <c r="B11" s="340"/>
      <c r="C11" s="340"/>
      <c r="D11" s="340"/>
      <c r="E11" s="340"/>
      <c r="F11" s="340"/>
    </row>
    <row r="12" spans="1:6" ht="17.25" customHeight="1" x14ac:dyDescent="0.25">
      <c r="A12" s="340" t="s">
        <v>435</v>
      </c>
      <c r="B12" s="340"/>
      <c r="C12" s="340"/>
      <c r="D12" s="340"/>
      <c r="E12" s="340"/>
      <c r="F12" s="340"/>
    </row>
    <row r="13" spans="1:6" ht="15" customHeight="1" x14ac:dyDescent="0.25">
      <c r="A13" s="380" t="s">
        <v>436</v>
      </c>
      <c r="B13" s="20"/>
      <c r="C13" s="20"/>
      <c r="D13" s="20"/>
      <c r="E13" s="20"/>
      <c r="F13" s="20"/>
    </row>
    <row r="14" spans="1:6" ht="15" customHeight="1" x14ac:dyDescent="0.25">
      <c r="A14" s="380"/>
      <c r="B14" s="20"/>
      <c r="C14" s="20"/>
      <c r="D14" s="20"/>
      <c r="E14" s="20"/>
      <c r="F14" s="20"/>
    </row>
    <row r="15" spans="1:6" ht="18" customHeight="1" x14ac:dyDescent="0.25">
      <c r="A15" s="379" t="s">
        <v>10</v>
      </c>
      <c r="B15" s="379"/>
      <c r="C15" s="379"/>
      <c r="D15" s="379"/>
      <c r="E15" s="379"/>
      <c r="F15" s="379"/>
    </row>
    <row r="16" spans="1:6" ht="15.75" x14ac:dyDescent="0.25">
      <c r="A16" s="380" t="s">
        <v>470</v>
      </c>
      <c r="B16" s="380"/>
      <c r="C16" s="380"/>
      <c r="D16" s="380"/>
      <c r="E16" s="380"/>
      <c r="F16" s="380"/>
    </row>
    <row r="17" spans="1:8" ht="15.75" x14ac:dyDescent="0.25">
      <c r="A17" s="380" t="s">
        <v>471</v>
      </c>
      <c r="B17" s="380"/>
      <c r="C17" s="380"/>
      <c r="D17" s="380"/>
      <c r="E17" s="380"/>
      <c r="F17" s="380"/>
    </row>
    <row r="18" spans="1:8" ht="15" customHeight="1" x14ac:dyDescent="0.25">
      <c r="A18" s="56"/>
      <c r="B18" s="56"/>
      <c r="C18" s="56"/>
      <c r="D18" s="56"/>
      <c r="E18" s="56"/>
      <c r="F18" s="56"/>
    </row>
    <row r="19" spans="1:8" ht="15" customHeight="1" x14ac:dyDescent="0.25">
      <c r="A19" s="417"/>
      <c r="B19" s="422" t="s">
        <v>27</v>
      </c>
      <c r="C19" s="423"/>
      <c r="D19" s="424"/>
      <c r="E19" s="418" t="s">
        <v>36</v>
      </c>
      <c r="G19" s="37"/>
      <c r="H19" s="37"/>
    </row>
    <row r="20" spans="1:8" ht="31.5" customHeight="1" x14ac:dyDescent="0.25">
      <c r="A20" s="420">
        <v>1</v>
      </c>
      <c r="B20" s="428" t="s">
        <v>0</v>
      </c>
      <c r="C20" s="429"/>
      <c r="D20" s="430"/>
      <c r="E20" s="421"/>
      <c r="G20" s="37"/>
      <c r="H20" s="37"/>
    </row>
    <row r="21" spans="1:8" ht="45.75" customHeight="1" x14ac:dyDescent="0.25">
      <c r="A21" s="420">
        <v>2</v>
      </c>
      <c r="B21" s="425" t="s">
        <v>370</v>
      </c>
      <c r="C21" s="426"/>
      <c r="D21" s="427"/>
      <c r="E21" s="421"/>
      <c r="G21" s="37"/>
      <c r="H21" s="37"/>
    </row>
    <row r="22" spans="1:8" ht="47.25" customHeight="1" x14ac:dyDescent="0.25">
      <c r="A22" s="420">
        <v>3</v>
      </c>
      <c r="B22" s="425" t="s">
        <v>371</v>
      </c>
      <c r="C22" s="426"/>
      <c r="D22" s="427"/>
      <c r="E22" s="421"/>
      <c r="F22" s="13"/>
      <c r="G22" s="37"/>
      <c r="H22" s="37"/>
    </row>
    <row r="23" spans="1:8" ht="31.5" customHeight="1" x14ac:dyDescent="0.25">
      <c r="A23" s="420">
        <v>4</v>
      </c>
      <c r="B23" s="425" t="s">
        <v>372</v>
      </c>
      <c r="C23" s="426"/>
      <c r="D23" s="427"/>
      <c r="E23" s="421"/>
      <c r="F23" s="15"/>
      <c r="G23" s="37"/>
      <c r="H23" s="37"/>
    </row>
    <row r="24" spans="1:8" ht="15" customHeight="1" x14ac:dyDescent="0.25">
      <c r="A24" s="15"/>
      <c r="B24" s="15"/>
      <c r="C24" s="15"/>
      <c r="D24" s="15"/>
      <c r="E24" s="15"/>
      <c r="F24" s="15"/>
      <c r="G24" s="37"/>
      <c r="H24" s="37"/>
    </row>
    <row r="25" spans="1:8" ht="18" customHeight="1" x14ac:dyDescent="0.25">
      <c r="A25" s="379" t="s">
        <v>11</v>
      </c>
      <c r="B25" s="379"/>
      <c r="C25" s="379"/>
      <c r="D25" s="379"/>
      <c r="E25" s="379"/>
      <c r="F25" s="379"/>
    </row>
    <row r="26" spans="1:8" ht="15" customHeight="1" x14ac:dyDescent="0.25">
      <c r="A26" s="340" t="s">
        <v>591</v>
      </c>
      <c r="B26" s="340"/>
      <c r="C26" s="340"/>
      <c r="D26" s="340"/>
      <c r="E26" s="340"/>
      <c r="F26" s="340"/>
    </row>
    <row r="27" spans="1:8" ht="15" customHeight="1" x14ac:dyDescent="0.25">
      <c r="A27" s="340" t="s">
        <v>592</v>
      </c>
      <c r="B27" s="340"/>
      <c r="C27" s="340"/>
      <c r="D27" s="340"/>
      <c r="E27" s="340"/>
      <c r="F27" s="340"/>
      <c r="G27" s="37"/>
      <c r="H27" s="37"/>
    </row>
    <row r="28" spans="1:8" ht="15" customHeight="1" x14ac:dyDescent="0.25">
      <c r="A28" s="15"/>
      <c r="B28" s="15"/>
      <c r="C28" s="15"/>
      <c r="D28" s="15"/>
      <c r="E28" s="15"/>
      <c r="F28" s="15"/>
      <c r="G28" s="37"/>
      <c r="H28" s="37"/>
    </row>
    <row r="29" spans="1:8" ht="33.75" customHeight="1" x14ac:dyDescent="0.25">
      <c r="A29" s="15"/>
      <c r="B29" s="415" t="s">
        <v>324</v>
      </c>
      <c r="C29" s="419" t="s">
        <v>56</v>
      </c>
      <c r="D29" s="415" t="s">
        <v>26</v>
      </c>
      <c r="E29" s="413" t="s">
        <v>36</v>
      </c>
      <c r="H29" s="37"/>
    </row>
    <row r="30" spans="1:8" ht="31.5" x14ac:dyDescent="0.25">
      <c r="A30" s="15"/>
      <c r="B30" s="416"/>
      <c r="C30" s="58" t="s">
        <v>373</v>
      </c>
      <c r="D30" s="414"/>
      <c r="E30" s="412"/>
      <c r="H30" s="37"/>
    </row>
    <row r="31" spans="1:8" ht="47.25" x14ac:dyDescent="0.25">
      <c r="A31" s="20"/>
      <c r="B31" s="60" t="s">
        <v>606</v>
      </c>
      <c r="C31" s="1" t="s">
        <v>57</v>
      </c>
      <c r="D31" s="59" t="s">
        <v>607</v>
      </c>
      <c r="E31" s="57"/>
      <c r="H31" s="37"/>
    </row>
    <row r="32" spans="1:8" ht="15.75" x14ac:dyDescent="0.25">
      <c r="G32" s="37"/>
      <c r="H32" s="37"/>
    </row>
    <row r="33" spans="7:8" ht="15.75" x14ac:dyDescent="0.25">
      <c r="G33" s="37"/>
      <c r="H33" s="37"/>
    </row>
    <row r="34" spans="7:8" ht="15.75" x14ac:dyDescent="0.25">
      <c r="G34" s="37"/>
      <c r="H34" s="37"/>
    </row>
    <row r="35" spans="7:8" ht="15.75" x14ac:dyDescent="0.25">
      <c r="G35" s="37"/>
      <c r="H35" s="37"/>
    </row>
    <row r="36" spans="7:8" ht="15.75" x14ac:dyDescent="0.25">
      <c r="G36" s="37"/>
      <c r="H36" s="37"/>
    </row>
    <row r="37" spans="7:8" ht="15.75" x14ac:dyDescent="0.25">
      <c r="G37" s="37"/>
      <c r="H37" s="37"/>
    </row>
    <row r="38" spans="7:8" ht="15.75" x14ac:dyDescent="0.25">
      <c r="G38" s="37"/>
      <c r="H38" s="37"/>
    </row>
    <row r="39" spans="7:8" ht="15.75" x14ac:dyDescent="0.25">
      <c r="G39" s="37"/>
      <c r="H39" s="37"/>
    </row>
    <row r="40" spans="7:8" ht="15.75" x14ac:dyDescent="0.25">
      <c r="G40" s="37"/>
      <c r="H40" s="37"/>
    </row>
    <row r="41" spans="7:8" ht="15.75" x14ac:dyDescent="0.25">
      <c r="G41" s="37"/>
      <c r="H41" s="37"/>
    </row>
    <row r="42" spans="7:8" ht="15.75" x14ac:dyDescent="0.25">
      <c r="G42" s="37"/>
      <c r="H42" s="37"/>
    </row>
    <row r="43" spans="7:8" ht="15.75" x14ac:dyDescent="0.25">
      <c r="G43" s="37"/>
      <c r="H43" s="37"/>
    </row>
    <row r="44" spans="7:8" ht="15.75" x14ac:dyDescent="0.25">
      <c r="G44" s="37"/>
      <c r="H44" s="37"/>
    </row>
    <row r="45" spans="7:8" ht="15.75" x14ac:dyDescent="0.25">
      <c r="G45" s="37"/>
      <c r="H45" s="37"/>
    </row>
    <row r="46" spans="7:8" ht="15.75" x14ac:dyDescent="0.25">
      <c r="G46" s="37"/>
      <c r="H46" s="37"/>
    </row>
    <row r="47" spans="7:8" ht="15.75" x14ac:dyDescent="0.25">
      <c r="G47" s="37"/>
      <c r="H47" s="37"/>
    </row>
    <row r="48" spans="7:8" ht="15.75" x14ac:dyDescent="0.25">
      <c r="G48" s="37"/>
      <c r="H48" s="37"/>
    </row>
    <row r="49" spans="7:8" ht="15.75" x14ac:dyDescent="0.25">
      <c r="G49" s="37"/>
      <c r="H49" s="37"/>
    </row>
    <row r="50" spans="7:8" ht="15.75" x14ac:dyDescent="0.25">
      <c r="G50" s="37"/>
      <c r="H50" s="37"/>
    </row>
    <row r="51" spans="7:8" ht="15.75" x14ac:dyDescent="0.25">
      <c r="G51" s="37"/>
      <c r="H51" s="37"/>
    </row>
    <row r="52" spans="7:8" ht="15.75" x14ac:dyDescent="0.25">
      <c r="G52" s="37"/>
      <c r="H52" s="37"/>
    </row>
    <row r="53" spans="7:8" ht="15.75" x14ac:dyDescent="0.25">
      <c r="G53" s="37"/>
      <c r="H53" s="37"/>
    </row>
    <row r="54" spans="7:8" ht="15.75" x14ac:dyDescent="0.25">
      <c r="G54" s="37"/>
      <c r="H54" s="37"/>
    </row>
    <row r="55" spans="7:8" ht="15.75" x14ac:dyDescent="0.25">
      <c r="G55" s="37"/>
      <c r="H55" s="37"/>
    </row>
    <row r="56" spans="7:8" ht="15.75" x14ac:dyDescent="0.25">
      <c r="G56" s="37"/>
      <c r="H56" s="37"/>
    </row>
    <row r="57" spans="7:8" ht="15.75" x14ac:dyDescent="0.25">
      <c r="G57" s="37"/>
      <c r="H57" s="37"/>
    </row>
    <row r="58" spans="7:8" ht="15.75" x14ac:dyDescent="0.25">
      <c r="G58" s="37"/>
      <c r="H58" s="37"/>
    </row>
    <row r="59" spans="7:8" ht="15.75" x14ac:dyDescent="0.25">
      <c r="G59" s="37"/>
      <c r="H59" s="37"/>
    </row>
    <row r="60" spans="7:8" ht="15.75" x14ac:dyDescent="0.25">
      <c r="G60" s="37"/>
      <c r="H60" s="37"/>
    </row>
    <row r="61" spans="7:8" ht="15.75" x14ac:dyDescent="0.25">
      <c r="G61" s="37"/>
      <c r="H61" s="37"/>
    </row>
    <row r="62" spans="7:8" ht="15.75" x14ac:dyDescent="0.25">
      <c r="G62" s="37"/>
      <c r="H62" s="37"/>
    </row>
    <row r="63" spans="7:8" ht="15.75" x14ac:dyDescent="0.25">
      <c r="G63" s="37"/>
      <c r="H63" s="37"/>
    </row>
    <row r="64" spans="7:8" ht="15.75" x14ac:dyDescent="0.25">
      <c r="G64" s="37"/>
      <c r="H64" s="37"/>
    </row>
    <row r="65" spans="7:8" ht="15.75" x14ac:dyDescent="0.25">
      <c r="G65" s="37"/>
      <c r="H65" s="37"/>
    </row>
    <row r="66" spans="7:8" ht="15.75" x14ac:dyDescent="0.25">
      <c r="G66" s="37"/>
      <c r="H66" s="37"/>
    </row>
    <row r="67" spans="7:8" ht="15.75" x14ac:dyDescent="0.25">
      <c r="G67" s="37"/>
      <c r="H67" s="37"/>
    </row>
    <row r="68" spans="7:8" ht="15.75" x14ac:dyDescent="0.25">
      <c r="G68" s="37"/>
      <c r="H68" s="37"/>
    </row>
    <row r="69" spans="7:8" ht="15.75" x14ac:dyDescent="0.25">
      <c r="G69" s="37"/>
      <c r="H69" s="37"/>
    </row>
    <row r="70" spans="7:8" ht="15.75" x14ac:dyDescent="0.25">
      <c r="G70" s="37"/>
      <c r="H70" s="37"/>
    </row>
    <row r="71" spans="7:8" ht="15.75" x14ac:dyDescent="0.25">
      <c r="G71" s="37"/>
      <c r="H71" s="37"/>
    </row>
    <row r="72" spans="7:8" ht="15.75" x14ac:dyDescent="0.25">
      <c r="G72" s="37"/>
      <c r="H72" s="37"/>
    </row>
    <row r="73" spans="7:8" ht="15.75" x14ac:dyDescent="0.25">
      <c r="G73" s="37"/>
      <c r="H73" s="37"/>
    </row>
    <row r="74" spans="7:8" ht="15.75" x14ac:dyDescent="0.25">
      <c r="G74" s="37"/>
      <c r="H74" s="37"/>
    </row>
    <row r="75" spans="7:8" ht="15.75" x14ac:dyDescent="0.25">
      <c r="G75" s="37"/>
      <c r="H75" s="37"/>
    </row>
    <row r="76" spans="7:8" ht="15.75" x14ac:dyDescent="0.25">
      <c r="G76" s="37"/>
      <c r="H76" s="37"/>
    </row>
    <row r="77" spans="7:8" ht="15.75" x14ac:dyDescent="0.25">
      <c r="G77" s="37"/>
      <c r="H77" s="37"/>
    </row>
    <row r="78" spans="7:8" ht="15.75" x14ac:dyDescent="0.25">
      <c r="G78" s="37"/>
      <c r="H78" s="37"/>
    </row>
    <row r="79" spans="7:8" ht="15.75" x14ac:dyDescent="0.25">
      <c r="G79" s="37"/>
      <c r="H79" s="37"/>
    </row>
    <row r="80" spans="7:8" ht="15.75" x14ac:dyDescent="0.25">
      <c r="G80" s="37"/>
      <c r="H80" s="37"/>
    </row>
    <row r="81" spans="7:8" ht="15.75" x14ac:dyDescent="0.25">
      <c r="G81" s="37"/>
      <c r="H81" s="37"/>
    </row>
    <row r="82" spans="7:8" ht="15.75" x14ac:dyDescent="0.25">
      <c r="G82" s="37"/>
      <c r="H82" s="37"/>
    </row>
    <row r="83" spans="7:8" ht="15.75" x14ac:dyDescent="0.25">
      <c r="G83" s="37"/>
      <c r="H83" s="37"/>
    </row>
    <row r="84" spans="7:8" ht="15.75" x14ac:dyDescent="0.25">
      <c r="G84" s="37"/>
      <c r="H84" s="37"/>
    </row>
    <row r="85" spans="7:8" ht="15.75" x14ac:dyDescent="0.25">
      <c r="G85" s="37"/>
      <c r="H85" s="37"/>
    </row>
    <row r="86" spans="7:8" ht="15.75" x14ac:dyDescent="0.25">
      <c r="G86" s="37"/>
      <c r="H86" s="37"/>
    </row>
    <row r="87" spans="7:8" ht="15.75" x14ac:dyDescent="0.25">
      <c r="G87" s="37"/>
      <c r="H87" s="37"/>
    </row>
    <row r="88" spans="7:8" ht="15.75" x14ac:dyDescent="0.25">
      <c r="G88" s="37"/>
      <c r="H88" s="37"/>
    </row>
    <row r="89" spans="7:8" ht="15.75" x14ac:dyDescent="0.25">
      <c r="G89" s="37"/>
      <c r="H89" s="37"/>
    </row>
    <row r="90" spans="7:8" ht="15.75" x14ac:dyDescent="0.25">
      <c r="G90" s="37"/>
      <c r="H90" s="37"/>
    </row>
    <row r="91" spans="7:8" ht="15.75" x14ac:dyDescent="0.25">
      <c r="G91" s="37"/>
      <c r="H91" s="37"/>
    </row>
    <row r="92" spans="7:8" ht="15.75" x14ac:dyDescent="0.25">
      <c r="G92" s="37"/>
      <c r="H92" s="37"/>
    </row>
  </sheetData>
  <sheetProtection algorithmName="SHA-512" hashValue="DtHRbElWbygGBvi8OAR49rO3x3IXVWjNxzZ1EWwBuWXjiymdDNMRauJfEZoYVwDSN/DTSbnPTvifn4J3gpR5Rg==" saltValue="CXjYYkk/Eg+mmqENxC21ag==" spinCount="100000" sheet="1" objects="1" scenarios="1"/>
  <pageMargins left="0.7" right="0.7" top="0.98479166666666662" bottom="0.75" header="0.3" footer="0.3"/>
  <pageSetup scale="45" fitToHeight="0" orientation="landscape" r:id="rId1"/>
  <headerFooter>
    <oddFooter>&amp;L&amp;"Avenir LT Std 55 Roman,Regular"&amp;12&amp;K000000FINAL August 7, 2020&amp;C&amp;"Avenir LT Std 55 Roman,Regular"&amp;12Page &amp;P of &amp;N&amp;R&amp;"Avenir LT Std 55 Roman,Regular"&amp;12&amp;K000000&amp;A</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600-000000000000}">
          <x14:formula1>
            <xm:f>'Defaults &lt;HIDE&gt;'!$H$12:$H$13</xm:f>
          </x14:formula1>
          <xm:sqref>E20:E23 E31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66"/>
  </sheetPr>
  <dimension ref="A1:F145"/>
  <sheetViews>
    <sheetView showGridLines="0" zoomScaleNormal="100" workbookViewId="0"/>
  </sheetViews>
  <sheetFormatPr defaultColWidth="9.140625" defaultRowHeight="15" x14ac:dyDescent="0.25"/>
  <cols>
    <col min="1" max="1" width="4.28515625" style="9" customWidth="1"/>
    <col min="2" max="3" width="35.7109375" style="9" customWidth="1"/>
    <col min="4" max="6" width="25.7109375" style="9" customWidth="1"/>
    <col min="7" max="16384" width="9.140625" style="9"/>
  </cols>
  <sheetData>
    <row r="1" spans="1:6" ht="18.75" customHeight="1" x14ac:dyDescent="0.25">
      <c r="A1" s="244"/>
      <c r="B1" s="244"/>
      <c r="C1" s="244"/>
      <c r="D1" s="244"/>
      <c r="E1" s="244"/>
      <c r="F1" s="244"/>
    </row>
    <row r="2" spans="1:6" ht="15" customHeight="1" x14ac:dyDescent="0.3">
      <c r="A2" s="251"/>
      <c r="B2" s="251"/>
      <c r="C2" s="251"/>
      <c r="D2" s="251"/>
      <c r="E2" s="251"/>
      <c r="F2" s="251"/>
    </row>
    <row r="3" spans="1:6" ht="18.75" customHeight="1" x14ac:dyDescent="0.25">
      <c r="A3" s="244"/>
      <c r="B3" s="244"/>
      <c r="C3" s="244"/>
      <c r="D3" s="244"/>
      <c r="E3" s="244"/>
      <c r="F3" s="244"/>
    </row>
    <row r="4" spans="1:6" ht="18.75" customHeight="1" x14ac:dyDescent="0.25">
      <c r="A4" s="243"/>
      <c r="B4" s="243"/>
      <c r="C4" s="243"/>
      <c r="D4" s="243"/>
      <c r="E4" s="243"/>
      <c r="F4" s="243"/>
    </row>
    <row r="5" spans="1:6" ht="15" customHeight="1" x14ac:dyDescent="0.25">
      <c r="A5" s="242"/>
      <c r="B5" s="242"/>
      <c r="C5" s="242"/>
      <c r="D5" s="242"/>
      <c r="E5" s="242"/>
      <c r="F5" s="242"/>
    </row>
    <row r="6" spans="1:6" ht="15" customHeight="1" x14ac:dyDescent="0.25">
      <c r="A6" s="222"/>
      <c r="B6" s="222"/>
      <c r="C6" s="222"/>
      <c r="D6" s="222"/>
      <c r="E6" s="222"/>
      <c r="F6" s="222"/>
    </row>
    <row r="7" spans="1:6" ht="18.75" customHeight="1" x14ac:dyDescent="0.25">
      <c r="A7" s="244"/>
      <c r="B7" s="244"/>
      <c r="C7" s="244"/>
      <c r="D7" s="244"/>
      <c r="E7" s="244"/>
      <c r="F7" s="244"/>
    </row>
    <row r="8" spans="1:6" ht="15" customHeight="1" x14ac:dyDescent="0.3">
      <c r="A8" s="251"/>
      <c r="B8" s="251"/>
      <c r="C8" s="251"/>
      <c r="D8" s="251"/>
      <c r="E8" s="251"/>
      <c r="F8" s="251"/>
    </row>
    <row r="9" spans="1:6" ht="15" customHeight="1" x14ac:dyDescent="0.25">
      <c r="A9" s="340" t="s">
        <v>492</v>
      </c>
      <c r="B9" s="340"/>
      <c r="C9" s="340"/>
      <c r="D9" s="340"/>
      <c r="E9" s="340"/>
      <c r="F9" s="340"/>
    </row>
    <row r="10" spans="1:6" ht="15" customHeight="1" x14ac:dyDescent="0.25">
      <c r="A10" s="340" t="s">
        <v>491</v>
      </c>
      <c r="B10" s="340"/>
      <c r="C10" s="340"/>
      <c r="D10" s="340"/>
      <c r="E10" s="340"/>
      <c r="F10" s="340"/>
    </row>
    <row r="11" spans="1:6" ht="15" customHeight="1" x14ac:dyDescent="0.25">
      <c r="A11" s="482" t="s">
        <v>662</v>
      </c>
      <c r="B11" s="340"/>
      <c r="C11" s="340"/>
      <c r="D11" s="340"/>
      <c r="E11" s="340"/>
      <c r="F11" s="340"/>
    </row>
    <row r="12" spans="1:6" ht="15" customHeight="1" thickBot="1" x14ac:dyDescent="0.3">
      <c r="A12" s="380"/>
      <c r="B12" s="20"/>
      <c r="C12" s="20"/>
      <c r="D12" s="20"/>
      <c r="E12" s="20"/>
      <c r="F12" s="20"/>
    </row>
    <row r="13" spans="1:6" ht="15" customHeight="1" x14ac:dyDescent="0.25">
      <c r="A13" s="380"/>
      <c r="B13" s="538" t="s">
        <v>609</v>
      </c>
      <c r="C13" s="539"/>
      <c r="D13" s="539"/>
      <c r="E13" s="540"/>
      <c r="F13" s="20"/>
    </row>
    <row r="14" spans="1:6" ht="32.25" thickBot="1" x14ac:dyDescent="0.3">
      <c r="A14" s="380"/>
      <c r="B14" s="537" t="s">
        <v>659</v>
      </c>
      <c r="C14" s="389" t="s">
        <v>660</v>
      </c>
      <c r="D14" s="545" t="s">
        <v>538</v>
      </c>
      <c r="E14" s="546" t="s">
        <v>539</v>
      </c>
      <c r="F14" s="20"/>
    </row>
    <row r="15" spans="1:6" ht="15" customHeight="1" thickBot="1" x14ac:dyDescent="0.3">
      <c r="A15" s="380"/>
      <c r="B15" s="541"/>
      <c r="C15" s="542"/>
      <c r="D15" s="543" t="str">
        <f>IFERROR(VLOOKUP(C15,$B$27:$D$145,3,0),"")</f>
        <v/>
      </c>
      <c r="E15" s="544" t="str">
        <f>IFERROR(IF(AND(VLOOKUP(B15,$B$27:$F$145,4,0)="Yes",VLOOKUP(C15,$B$27:$F$145,5,0)="Yes"),"Yes","No"),"")</f>
        <v/>
      </c>
      <c r="F15" s="20"/>
    </row>
    <row r="16" spans="1:6" ht="15" customHeight="1" thickBot="1" x14ac:dyDescent="0.3">
      <c r="A16" s="380"/>
      <c r="B16" s="20"/>
      <c r="C16" s="20"/>
      <c r="D16" s="20"/>
      <c r="E16" s="20"/>
      <c r="F16" s="20"/>
    </row>
    <row r="17" spans="1:6" ht="15" customHeight="1" thickBot="1" x14ac:dyDescent="0.3">
      <c r="A17" s="380"/>
      <c r="B17" s="461" t="s">
        <v>490</v>
      </c>
      <c r="C17" s="460"/>
      <c r="D17" s="459"/>
      <c r="E17" s="459"/>
      <c r="F17" s="458"/>
    </row>
    <row r="18" spans="1:6" ht="47.25" x14ac:dyDescent="0.25">
      <c r="A18" s="380"/>
      <c r="B18" s="479" t="s">
        <v>307</v>
      </c>
      <c r="C18" s="480" t="s">
        <v>483</v>
      </c>
      <c r="D18" s="480" t="s">
        <v>493</v>
      </c>
      <c r="E18" s="480" t="s">
        <v>494</v>
      </c>
      <c r="F18" s="481" t="s">
        <v>495</v>
      </c>
    </row>
    <row r="19" spans="1:6" ht="63" x14ac:dyDescent="0.25">
      <c r="A19" s="380"/>
      <c r="B19" s="585" t="s">
        <v>571</v>
      </c>
      <c r="C19" s="60" t="s">
        <v>485</v>
      </c>
      <c r="D19" s="60" t="s">
        <v>661</v>
      </c>
      <c r="E19" s="489" t="s">
        <v>594</v>
      </c>
      <c r="F19" s="475" t="s">
        <v>488</v>
      </c>
    </row>
    <row r="20" spans="1:6" ht="63" x14ac:dyDescent="0.25">
      <c r="A20" s="380"/>
      <c r="B20" s="584" t="s">
        <v>569</v>
      </c>
      <c r="C20" s="601" t="s">
        <v>484</v>
      </c>
      <c r="D20" s="60" t="s">
        <v>661</v>
      </c>
      <c r="E20" s="60" t="s">
        <v>487</v>
      </c>
      <c r="F20" s="475" t="s">
        <v>488</v>
      </c>
    </row>
    <row r="21" spans="1:6" ht="47.25" customHeight="1" x14ac:dyDescent="0.25">
      <c r="A21" s="380"/>
      <c r="B21" s="584" t="s">
        <v>570</v>
      </c>
      <c r="C21" s="601" t="s">
        <v>484</v>
      </c>
      <c r="D21" s="60" t="s">
        <v>595</v>
      </c>
      <c r="E21" s="60" t="s">
        <v>487</v>
      </c>
      <c r="F21" s="475" t="s">
        <v>488</v>
      </c>
    </row>
    <row r="22" spans="1:6" ht="47.25" customHeight="1" x14ac:dyDescent="0.25">
      <c r="A22" s="380"/>
      <c r="B22" s="600" t="s">
        <v>593</v>
      </c>
      <c r="C22" s="601" t="s">
        <v>484</v>
      </c>
      <c r="D22" s="60" t="s">
        <v>608</v>
      </c>
      <c r="E22" s="602" t="s">
        <v>486</v>
      </c>
      <c r="F22" s="603" t="s">
        <v>489</v>
      </c>
    </row>
    <row r="23" spans="1:6" ht="95.25" thickBot="1" x14ac:dyDescent="0.3">
      <c r="A23" s="380"/>
      <c r="B23" s="476" t="s">
        <v>568</v>
      </c>
      <c r="C23" s="477" t="s">
        <v>484</v>
      </c>
      <c r="D23" s="477" t="s">
        <v>661</v>
      </c>
      <c r="E23" s="477" t="s">
        <v>486</v>
      </c>
      <c r="F23" s="478" t="s">
        <v>489</v>
      </c>
    </row>
    <row r="24" spans="1:6" ht="15" customHeight="1" thickBot="1" x14ac:dyDescent="0.3">
      <c r="A24" s="380"/>
      <c r="B24" s="20"/>
      <c r="C24" s="20"/>
      <c r="D24" s="20"/>
      <c r="E24" s="20"/>
      <c r="F24" s="20"/>
    </row>
    <row r="25" spans="1:6" ht="16.5" thickBot="1" x14ac:dyDescent="0.3">
      <c r="B25" s="461" t="s">
        <v>482</v>
      </c>
      <c r="C25" s="460"/>
      <c r="D25" s="459"/>
      <c r="E25" s="459"/>
      <c r="F25" s="458"/>
    </row>
    <row r="26" spans="1:6" ht="35.25" thickBot="1" x14ac:dyDescent="0.3">
      <c r="B26" s="467" t="s">
        <v>481</v>
      </c>
      <c r="C26" s="468" t="s">
        <v>480</v>
      </c>
      <c r="D26" s="469" t="s">
        <v>474</v>
      </c>
      <c r="E26" s="468" t="s">
        <v>472</v>
      </c>
      <c r="F26" s="470" t="s">
        <v>473</v>
      </c>
    </row>
    <row r="27" spans="1:6" ht="15.75" x14ac:dyDescent="0.25">
      <c r="B27" s="463" t="s">
        <v>83</v>
      </c>
      <c r="C27" s="471">
        <v>4750</v>
      </c>
      <c r="D27" s="464" t="str">
        <f t="shared" ref="D27:D58" si="0">IF(C27&lt;10,"Yes","No")</f>
        <v>No</v>
      </c>
      <c r="E27" s="465" t="str">
        <f t="shared" ref="E27:E58" si="1">IF(C27&gt;3900,"Yes","No")</f>
        <v>Yes</v>
      </c>
      <c r="F27" s="466" t="str">
        <f t="shared" ref="F27:F58" si="2">IF(C27&lt;1500,"Yes","No")</f>
        <v>No</v>
      </c>
    </row>
    <row r="28" spans="1:6" ht="15.75" x14ac:dyDescent="0.25">
      <c r="B28" s="457" t="s">
        <v>84</v>
      </c>
      <c r="C28" s="472">
        <v>10900</v>
      </c>
      <c r="D28" s="456" t="str">
        <f t="shared" si="0"/>
        <v>No</v>
      </c>
      <c r="E28" s="455" t="str">
        <f t="shared" si="1"/>
        <v>Yes</v>
      </c>
      <c r="F28" s="454" t="str">
        <f t="shared" si="2"/>
        <v>No</v>
      </c>
    </row>
    <row r="29" spans="1:6" ht="15.75" x14ac:dyDescent="0.25">
      <c r="B29" s="457" t="s">
        <v>85</v>
      </c>
      <c r="C29" s="472">
        <v>14400</v>
      </c>
      <c r="D29" s="456" t="str">
        <f t="shared" si="0"/>
        <v>No</v>
      </c>
      <c r="E29" s="455" t="str">
        <f t="shared" si="1"/>
        <v>Yes</v>
      </c>
      <c r="F29" s="454" t="str">
        <f t="shared" si="2"/>
        <v>No</v>
      </c>
    </row>
    <row r="30" spans="1:6" ht="15.75" x14ac:dyDescent="0.25">
      <c r="B30" s="457" t="s">
        <v>86</v>
      </c>
      <c r="C30" s="472">
        <v>7140</v>
      </c>
      <c r="D30" s="456" t="str">
        <f t="shared" si="0"/>
        <v>No</v>
      </c>
      <c r="E30" s="455" t="str">
        <f t="shared" si="1"/>
        <v>Yes</v>
      </c>
      <c r="F30" s="454" t="str">
        <f t="shared" si="2"/>
        <v>No</v>
      </c>
    </row>
    <row r="31" spans="1:6" ht="15.75" x14ac:dyDescent="0.25">
      <c r="B31" s="457" t="s">
        <v>87</v>
      </c>
      <c r="C31" s="472">
        <v>7390</v>
      </c>
      <c r="D31" s="456" t="str">
        <f t="shared" si="0"/>
        <v>No</v>
      </c>
      <c r="E31" s="455" t="str">
        <f t="shared" si="1"/>
        <v>Yes</v>
      </c>
      <c r="F31" s="454" t="str">
        <f t="shared" si="2"/>
        <v>No</v>
      </c>
    </row>
    <row r="32" spans="1:6" ht="15.75" x14ac:dyDescent="0.25">
      <c r="B32" s="457" t="s">
        <v>79</v>
      </c>
      <c r="C32" s="472">
        <v>1810</v>
      </c>
      <c r="D32" s="456" t="str">
        <f t="shared" si="0"/>
        <v>No</v>
      </c>
      <c r="E32" s="455" t="str">
        <f t="shared" si="1"/>
        <v>No</v>
      </c>
      <c r="F32" s="454" t="str">
        <f t="shared" si="2"/>
        <v>No</v>
      </c>
    </row>
    <row r="33" spans="2:6" ht="15.75" x14ac:dyDescent="0.25">
      <c r="B33" s="457" t="s">
        <v>88</v>
      </c>
      <c r="C33" s="472">
        <v>14800</v>
      </c>
      <c r="D33" s="456" t="str">
        <f t="shared" si="0"/>
        <v>No</v>
      </c>
      <c r="E33" s="455" t="str">
        <f t="shared" si="1"/>
        <v>Yes</v>
      </c>
      <c r="F33" s="454" t="str">
        <f t="shared" si="2"/>
        <v>No</v>
      </c>
    </row>
    <row r="34" spans="2:6" ht="15.75" x14ac:dyDescent="0.25">
      <c r="B34" s="457" t="s">
        <v>89</v>
      </c>
      <c r="C34" s="472">
        <v>675</v>
      </c>
      <c r="D34" s="456" t="str">
        <f t="shared" si="0"/>
        <v>No</v>
      </c>
      <c r="E34" s="455" t="str">
        <f t="shared" si="1"/>
        <v>No</v>
      </c>
      <c r="F34" s="454" t="str">
        <f t="shared" si="2"/>
        <v>Yes</v>
      </c>
    </row>
    <row r="35" spans="2:6" ht="15.75" x14ac:dyDescent="0.25">
      <c r="B35" s="457" t="s">
        <v>90</v>
      </c>
      <c r="C35" s="472">
        <v>6130</v>
      </c>
      <c r="D35" s="456" t="str">
        <f t="shared" si="0"/>
        <v>No</v>
      </c>
      <c r="E35" s="455" t="str">
        <f t="shared" si="1"/>
        <v>Yes</v>
      </c>
      <c r="F35" s="454" t="str">
        <f t="shared" si="2"/>
        <v>No</v>
      </c>
    </row>
    <row r="36" spans="2:6" ht="15.75" x14ac:dyDescent="0.25">
      <c r="B36" s="457" t="s">
        <v>91</v>
      </c>
      <c r="C36" s="472">
        <v>10000</v>
      </c>
      <c r="D36" s="456" t="str">
        <f t="shared" si="0"/>
        <v>No</v>
      </c>
      <c r="E36" s="455" t="str">
        <f t="shared" si="1"/>
        <v>Yes</v>
      </c>
      <c r="F36" s="454" t="str">
        <f t="shared" si="2"/>
        <v>No</v>
      </c>
    </row>
    <row r="37" spans="2:6" ht="15.75" x14ac:dyDescent="0.25">
      <c r="B37" s="457" t="s">
        <v>92</v>
      </c>
      <c r="C37" s="472">
        <v>7370</v>
      </c>
      <c r="D37" s="456" t="str">
        <f t="shared" si="0"/>
        <v>No</v>
      </c>
      <c r="E37" s="455" t="str">
        <f t="shared" si="1"/>
        <v>Yes</v>
      </c>
      <c r="F37" s="454" t="str">
        <f t="shared" si="2"/>
        <v>No</v>
      </c>
    </row>
    <row r="38" spans="2:6" ht="15.75" x14ac:dyDescent="0.25">
      <c r="B38" s="457" t="s">
        <v>93</v>
      </c>
      <c r="C38" s="472">
        <v>12200</v>
      </c>
      <c r="D38" s="456" t="str">
        <f t="shared" si="0"/>
        <v>No</v>
      </c>
      <c r="E38" s="455" t="str">
        <f t="shared" si="1"/>
        <v>Yes</v>
      </c>
      <c r="F38" s="454" t="str">
        <f t="shared" si="2"/>
        <v>No</v>
      </c>
    </row>
    <row r="39" spans="2:6" ht="15.75" x14ac:dyDescent="0.25">
      <c r="B39" s="457" t="s">
        <v>94</v>
      </c>
      <c r="C39" s="472">
        <v>77</v>
      </c>
      <c r="D39" s="456" t="str">
        <f t="shared" si="0"/>
        <v>No</v>
      </c>
      <c r="E39" s="455" t="str">
        <f t="shared" si="1"/>
        <v>No</v>
      </c>
      <c r="F39" s="454" t="str">
        <f t="shared" si="2"/>
        <v>Yes</v>
      </c>
    </row>
    <row r="40" spans="2:6" ht="15.75" x14ac:dyDescent="0.25">
      <c r="B40" s="457" t="s">
        <v>95</v>
      </c>
      <c r="C40" s="472">
        <v>609</v>
      </c>
      <c r="D40" s="456" t="str">
        <f t="shared" si="0"/>
        <v>No</v>
      </c>
      <c r="E40" s="455" t="str">
        <f t="shared" si="1"/>
        <v>No</v>
      </c>
      <c r="F40" s="454" t="str">
        <f t="shared" si="2"/>
        <v>Yes</v>
      </c>
    </row>
    <row r="41" spans="2:6" ht="15.75" x14ac:dyDescent="0.25">
      <c r="B41" s="457" t="s">
        <v>96</v>
      </c>
      <c r="C41" s="472">
        <v>3500</v>
      </c>
      <c r="D41" s="456" t="str">
        <f t="shared" si="0"/>
        <v>No</v>
      </c>
      <c r="E41" s="455" t="str">
        <f t="shared" si="1"/>
        <v>No</v>
      </c>
      <c r="F41" s="454" t="str">
        <f t="shared" si="2"/>
        <v>No</v>
      </c>
    </row>
    <row r="42" spans="2:6" ht="15.75" x14ac:dyDescent="0.25">
      <c r="B42" s="457" t="s">
        <v>80</v>
      </c>
      <c r="C42" s="472">
        <v>1430</v>
      </c>
      <c r="D42" s="456" t="str">
        <f t="shared" si="0"/>
        <v>No</v>
      </c>
      <c r="E42" s="455" t="str">
        <f t="shared" si="1"/>
        <v>No</v>
      </c>
      <c r="F42" s="454" t="str">
        <f t="shared" si="2"/>
        <v>Yes</v>
      </c>
    </row>
    <row r="43" spans="2:6" ht="15.75" x14ac:dyDescent="0.25">
      <c r="B43" s="457" t="s">
        <v>97</v>
      </c>
      <c r="C43" s="472">
        <v>725</v>
      </c>
      <c r="D43" s="456" t="str">
        <f t="shared" si="0"/>
        <v>No</v>
      </c>
      <c r="E43" s="455" t="str">
        <f t="shared" si="1"/>
        <v>No</v>
      </c>
      <c r="F43" s="454" t="str">
        <f t="shared" si="2"/>
        <v>Yes</v>
      </c>
    </row>
    <row r="44" spans="2:6" ht="15.75" x14ac:dyDescent="0.25">
      <c r="B44" s="457" t="s">
        <v>98</v>
      </c>
      <c r="C44" s="472">
        <v>2310</v>
      </c>
      <c r="D44" s="456" t="str">
        <f t="shared" si="0"/>
        <v>No</v>
      </c>
      <c r="E44" s="455" t="str">
        <f t="shared" si="1"/>
        <v>No</v>
      </c>
      <c r="F44" s="454" t="str">
        <f t="shared" si="2"/>
        <v>No</v>
      </c>
    </row>
    <row r="45" spans="2:6" ht="15.75" x14ac:dyDescent="0.25">
      <c r="B45" s="457" t="s">
        <v>99</v>
      </c>
      <c r="C45" s="472">
        <v>4470</v>
      </c>
      <c r="D45" s="456" t="str">
        <f t="shared" si="0"/>
        <v>No</v>
      </c>
      <c r="E45" s="455" t="str">
        <f t="shared" si="1"/>
        <v>Yes</v>
      </c>
      <c r="F45" s="454" t="str">
        <f t="shared" si="2"/>
        <v>No</v>
      </c>
    </row>
    <row r="46" spans="2:6" ht="15.75" x14ac:dyDescent="0.25">
      <c r="B46" s="457" t="s">
        <v>100</v>
      </c>
      <c r="C46" s="472">
        <v>124</v>
      </c>
      <c r="D46" s="456" t="str">
        <f t="shared" si="0"/>
        <v>No</v>
      </c>
      <c r="E46" s="455" t="str">
        <f t="shared" si="1"/>
        <v>No</v>
      </c>
      <c r="F46" s="454" t="str">
        <f t="shared" si="2"/>
        <v>Yes</v>
      </c>
    </row>
    <row r="47" spans="2:6" ht="15.75" x14ac:dyDescent="0.25">
      <c r="B47" s="457" t="s">
        <v>201</v>
      </c>
      <c r="C47" s="472">
        <v>12</v>
      </c>
      <c r="D47" s="456" t="str">
        <f t="shared" si="0"/>
        <v>No</v>
      </c>
      <c r="E47" s="455" t="str">
        <f t="shared" si="1"/>
        <v>No</v>
      </c>
      <c r="F47" s="454" t="str">
        <f t="shared" si="2"/>
        <v>Yes</v>
      </c>
    </row>
    <row r="48" spans="2:6" ht="15.75" x14ac:dyDescent="0.25">
      <c r="B48" s="457" t="s">
        <v>199</v>
      </c>
      <c r="C48" s="472">
        <v>6</v>
      </c>
      <c r="D48" s="456" t="str">
        <f t="shared" si="0"/>
        <v>Yes</v>
      </c>
      <c r="E48" s="455" t="str">
        <f t="shared" si="1"/>
        <v>No</v>
      </c>
      <c r="F48" s="454" t="str">
        <f t="shared" si="2"/>
        <v>Yes</v>
      </c>
    </row>
    <row r="49" spans="2:6" ht="15.75" x14ac:dyDescent="0.25">
      <c r="B49" s="457" t="s">
        <v>101</v>
      </c>
      <c r="C49" s="472">
        <v>8830</v>
      </c>
      <c r="D49" s="456" t="str">
        <f t="shared" si="0"/>
        <v>No</v>
      </c>
      <c r="E49" s="455" t="str">
        <f t="shared" si="1"/>
        <v>Yes</v>
      </c>
      <c r="F49" s="454" t="str">
        <f t="shared" si="2"/>
        <v>No</v>
      </c>
    </row>
    <row r="50" spans="2:6" ht="15.75" x14ac:dyDescent="0.25">
      <c r="B50" s="457" t="s">
        <v>102</v>
      </c>
      <c r="C50" s="472">
        <v>122</v>
      </c>
      <c r="D50" s="456" t="str">
        <f t="shared" si="0"/>
        <v>No</v>
      </c>
      <c r="E50" s="455" t="str">
        <f t="shared" si="1"/>
        <v>No</v>
      </c>
      <c r="F50" s="454" t="str">
        <f t="shared" si="2"/>
        <v>Yes</v>
      </c>
    </row>
    <row r="51" spans="2:6" ht="15.75" x14ac:dyDescent="0.25">
      <c r="B51" s="457" t="s">
        <v>103</v>
      </c>
      <c r="C51" s="472">
        <v>595</v>
      </c>
      <c r="D51" s="456" t="str">
        <f t="shared" si="0"/>
        <v>No</v>
      </c>
      <c r="E51" s="455" t="str">
        <f t="shared" si="1"/>
        <v>No</v>
      </c>
      <c r="F51" s="454" t="str">
        <f t="shared" si="2"/>
        <v>Yes</v>
      </c>
    </row>
    <row r="52" spans="2:6" ht="15.75" x14ac:dyDescent="0.25">
      <c r="B52" s="457" t="s">
        <v>104</v>
      </c>
      <c r="C52" s="472">
        <v>3220</v>
      </c>
      <c r="D52" s="456" t="str">
        <f t="shared" si="0"/>
        <v>No</v>
      </c>
      <c r="E52" s="455" t="str">
        <f t="shared" si="1"/>
        <v>No</v>
      </c>
      <c r="F52" s="454" t="str">
        <f t="shared" si="2"/>
        <v>No</v>
      </c>
    </row>
    <row r="53" spans="2:6" ht="15.75" x14ac:dyDescent="0.25">
      <c r="B53" s="457" t="s">
        <v>105</v>
      </c>
      <c r="C53" s="472">
        <v>9810</v>
      </c>
      <c r="D53" s="456" t="str">
        <f t="shared" si="0"/>
        <v>No</v>
      </c>
      <c r="E53" s="455" t="str">
        <f t="shared" si="1"/>
        <v>Yes</v>
      </c>
      <c r="F53" s="454" t="str">
        <f t="shared" si="2"/>
        <v>No</v>
      </c>
    </row>
    <row r="54" spans="2:6" ht="15.75" x14ac:dyDescent="0.25">
      <c r="B54" s="457" t="s">
        <v>106</v>
      </c>
      <c r="C54" s="472">
        <v>1030</v>
      </c>
      <c r="D54" s="456" t="str">
        <f t="shared" si="0"/>
        <v>No</v>
      </c>
      <c r="E54" s="455" t="str">
        <f t="shared" si="1"/>
        <v>No</v>
      </c>
      <c r="F54" s="454" t="str">
        <f t="shared" si="2"/>
        <v>Yes</v>
      </c>
    </row>
    <row r="55" spans="2:6" ht="15.75" x14ac:dyDescent="0.25">
      <c r="B55" s="457" t="s">
        <v>197</v>
      </c>
      <c r="C55" s="472">
        <v>3</v>
      </c>
      <c r="D55" s="456" t="str">
        <f t="shared" si="0"/>
        <v>Yes</v>
      </c>
      <c r="E55" s="455" t="str">
        <f t="shared" si="1"/>
        <v>No</v>
      </c>
      <c r="F55" s="454" t="str">
        <f t="shared" si="2"/>
        <v>Yes</v>
      </c>
    </row>
    <row r="56" spans="2:6" ht="15.75" x14ac:dyDescent="0.25">
      <c r="B56" s="457" t="s">
        <v>107</v>
      </c>
      <c r="C56" s="472">
        <v>794</v>
      </c>
      <c r="D56" s="456" t="str">
        <f t="shared" si="0"/>
        <v>No</v>
      </c>
      <c r="E56" s="455" t="str">
        <f t="shared" si="1"/>
        <v>No</v>
      </c>
      <c r="F56" s="454" t="str">
        <f t="shared" si="2"/>
        <v>Yes</v>
      </c>
    </row>
    <row r="57" spans="2:6" ht="15.75" x14ac:dyDescent="0.25">
      <c r="B57" s="457" t="s">
        <v>108</v>
      </c>
      <c r="C57" s="472">
        <v>1182</v>
      </c>
      <c r="D57" s="456" t="str">
        <f t="shared" si="0"/>
        <v>No</v>
      </c>
      <c r="E57" s="455" t="str">
        <f t="shared" si="1"/>
        <v>No</v>
      </c>
      <c r="F57" s="454" t="str">
        <f t="shared" si="2"/>
        <v>Yes</v>
      </c>
    </row>
    <row r="58" spans="2:6" ht="15.75" x14ac:dyDescent="0.25">
      <c r="B58" s="457" t="s">
        <v>109</v>
      </c>
      <c r="C58" s="472">
        <v>1288</v>
      </c>
      <c r="D58" s="456" t="str">
        <f t="shared" si="0"/>
        <v>No</v>
      </c>
      <c r="E58" s="455" t="str">
        <f t="shared" si="1"/>
        <v>No</v>
      </c>
      <c r="F58" s="454" t="str">
        <f t="shared" si="2"/>
        <v>Yes</v>
      </c>
    </row>
    <row r="59" spans="2:6" ht="15.75" x14ac:dyDescent="0.25">
      <c r="B59" s="457" t="s">
        <v>396</v>
      </c>
      <c r="C59" s="472">
        <v>933</v>
      </c>
      <c r="D59" s="456" t="str">
        <f t="shared" ref="D59:D90" si="3">IF(C59&lt;10,"Yes","No")</f>
        <v>No</v>
      </c>
      <c r="E59" s="455" t="str">
        <f t="shared" ref="E59:E90" si="4">IF(C59&gt;3900,"Yes","No")</f>
        <v>No</v>
      </c>
      <c r="F59" s="454" t="str">
        <f t="shared" ref="F59:F90" si="5">IF(C59&lt;1500,"Yes","No")</f>
        <v>Yes</v>
      </c>
    </row>
    <row r="60" spans="2:6" ht="15.75" x14ac:dyDescent="0.25">
      <c r="B60" s="457" t="s">
        <v>110</v>
      </c>
      <c r="C60" s="472">
        <v>2788</v>
      </c>
      <c r="D60" s="456" t="str">
        <f t="shared" si="3"/>
        <v>No</v>
      </c>
      <c r="E60" s="455" t="str">
        <f t="shared" si="4"/>
        <v>No</v>
      </c>
      <c r="F60" s="454" t="str">
        <f t="shared" si="5"/>
        <v>No</v>
      </c>
    </row>
    <row r="61" spans="2:6" ht="15.75" x14ac:dyDescent="0.25">
      <c r="B61" s="457" t="s">
        <v>111</v>
      </c>
      <c r="C61" s="472">
        <v>2416</v>
      </c>
      <c r="D61" s="456" t="str">
        <f t="shared" si="3"/>
        <v>No</v>
      </c>
      <c r="E61" s="455" t="str">
        <f t="shared" si="4"/>
        <v>No</v>
      </c>
      <c r="F61" s="454" t="str">
        <f t="shared" si="5"/>
        <v>No</v>
      </c>
    </row>
    <row r="62" spans="2:6" ht="15.75" x14ac:dyDescent="0.25">
      <c r="B62" s="457" t="s">
        <v>112</v>
      </c>
      <c r="C62" s="472">
        <v>4457.5</v>
      </c>
      <c r="D62" s="456" t="str">
        <f t="shared" si="3"/>
        <v>No</v>
      </c>
      <c r="E62" s="455" t="str">
        <f t="shared" si="4"/>
        <v>Yes</v>
      </c>
      <c r="F62" s="454" t="str">
        <f t="shared" si="5"/>
        <v>No</v>
      </c>
    </row>
    <row r="63" spans="2:6" ht="15.75" x14ac:dyDescent="0.25">
      <c r="B63" s="457" t="s">
        <v>81</v>
      </c>
      <c r="C63" s="472">
        <v>3922</v>
      </c>
      <c r="D63" s="456" t="str">
        <f t="shared" si="3"/>
        <v>No</v>
      </c>
      <c r="E63" s="455" t="str">
        <f t="shared" si="4"/>
        <v>Yes</v>
      </c>
      <c r="F63" s="454" t="str">
        <f t="shared" si="5"/>
        <v>No</v>
      </c>
    </row>
    <row r="64" spans="2:6" ht="15.75" x14ac:dyDescent="0.25">
      <c r="B64" s="457" t="s">
        <v>113</v>
      </c>
      <c r="C64" s="472">
        <v>1943</v>
      </c>
      <c r="D64" s="456" t="str">
        <f t="shared" si="3"/>
        <v>No</v>
      </c>
      <c r="E64" s="455" t="str">
        <f t="shared" si="4"/>
        <v>No</v>
      </c>
      <c r="F64" s="454" t="str">
        <f t="shared" si="5"/>
        <v>No</v>
      </c>
    </row>
    <row r="65" spans="2:6" ht="15.75" x14ac:dyDescent="0.25">
      <c r="B65" s="457" t="s">
        <v>82</v>
      </c>
      <c r="C65" s="472">
        <v>2107</v>
      </c>
      <c r="D65" s="456" t="str">
        <f t="shared" si="3"/>
        <v>No</v>
      </c>
      <c r="E65" s="455" t="str">
        <f t="shared" si="4"/>
        <v>No</v>
      </c>
      <c r="F65" s="454" t="str">
        <f t="shared" si="5"/>
        <v>No</v>
      </c>
    </row>
    <row r="66" spans="2:6" ht="15.75" x14ac:dyDescent="0.25">
      <c r="B66" s="457" t="s">
        <v>391</v>
      </c>
      <c r="C66" s="472">
        <v>2803</v>
      </c>
      <c r="D66" s="456" t="str">
        <f t="shared" si="3"/>
        <v>No</v>
      </c>
      <c r="E66" s="455" t="str">
        <f t="shared" si="4"/>
        <v>No</v>
      </c>
      <c r="F66" s="454" t="str">
        <f t="shared" si="5"/>
        <v>No</v>
      </c>
    </row>
    <row r="67" spans="2:6" ht="15.75" x14ac:dyDescent="0.25">
      <c r="B67" s="457" t="s">
        <v>114</v>
      </c>
      <c r="C67" s="472">
        <v>1774</v>
      </c>
      <c r="D67" s="456" t="str">
        <f t="shared" si="3"/>
        <v>No</v>
      </c>
      <c r="E67" s="455" t="str">
        <f t="shared" si="4"/>
        <v>No</v>
      </c>
      <c r="F67" s="454" t="str">
        <f t="shared" si="5"/>
        <v>No</v>
      </c>
    </row>
    <row r="68" spans="2:6" ht="15.75" x14ac:dyDescent="0.25">
      <c r="B68" s="457" t="s">
        <v>382</v>
      </c>
      <c r="C68" s="472">
        <v>1627</v>
      </c>
      <c r="D68" s="456" t="str">
        <f t="shared" si="3"/>
        <v>No</v>
      </c>
      <c r="E68" s="455" t="str">
        <f t="shared" si="4"/>
        <v>No</v>
      </c>
      <c r="F68" s="454" t="str">
        <f t="shared" si="5"/>
        <v>No</v>
      </c>
    </row>
    <row r="69" spans="2:6" ht="15.75" x14ac:dyDescent="0.25">
      <c r="B69" s="457" t="s">
        <v>115</v>
      </c>
      <c r="C69" s="472">
        <v>1825</v>
      </c>
      <c r="D69" s="456" t="str">
        <f t="shared" si="3"/>
        <v>No</v>
      </c>
      <c r="E69" s="455" t="str">
        <f t="shared" si="4"/>
        <v>No</v>
      </c>
      <c r="F69" s="454" t="str">
        <f t="shared" si="5"/>
        <v>No</v>
      </c>
    </row>
    <row r="70" spans="2:6" ht="15.75" x14ac:dyDescent="0.25">
      <c r="B70" s="457" t="s">
        <v>456</v>
      </c>
      <c r="C70" s="472">
        <v>1495</v>
      </c>
      <c r="D70" s="456" t="str">
        <f t="shared" si="3"/>
        <v>No</v>
      </c>
      <c r="E70" s="455" t="str">
        <f t="shared" si="4"/>
        <v>No</v>
      </c>
      <c r="F70" s="454" t="str">
        <f t="shared" si="5"/>
        <v>Yes</v>
      </c>
    </row>
    <row r="71" spans="2:6" ht="15.75" x14ac:dyDescent="0.25">
      <c r="B71" s="457" t="s">
        <v>116</v>
      </c>
      <c r="C71" s="472">
        <v>3152</v>
      </c>
      <c r="D71" s="456" t="str">
        <f t="shared" si="3"/>
        <v>No</v>
      </c>
      <c r="E71" s="455" t="str">
        <f t="shared" si="4"/>
        <v>No</v>
      </c>
      <c r="F71" s="454" t="str">
        <f t="shared" si="5"/>
        <v>No</v>
      </c>
    </row>
    <row r="72" spans="2:6" ht="15.75" x14ac:dyDescent="0.25">
      <c r="B72" s="457" t="s">
        <v>117</v>
      </c>
      <c r="C72" s="472">
        <v>1585</v>
      </c>
      <c r="D72" s="456" t="str">
        <f t="shared" si="3"/>
        <v>No</v>
      </c>
      <c r="E72" s="455" t="str">
        <f t="shared" si="4"/>
        <v>No</v>
      </c>
      <c r="F72" s="454" t="str">
        <f t="shared" si="5"/>
        <v>No</v>
      </c>
    </row>
    <row r="73" spans="2:6" ht="15.75" x14ac:dyDescent="0.25">
      <c r="B73" s="457" t="s">
        <v>118</v>
      </c>
      <c r="C73" s="472">
        <v>2088</v>
      </c>
      <c r="D73" s="456" t="str">
        <f t="shared" si="3"/>
        <v>No</v>
      </c>
      <c r="E73" s="455" t="str">
        <f t="shared" si="4"/>
        <v>No</v>
      </c>
      <c r="F73" s="454" t="str">
        <f t="shared" si="5"/>
        <v>No</v>
      </c>
    </row>
    <row r="74" spans="2:6" ht="15.75" x14ac:dyDescent="0.25">
      <c r="B74" s="457" t="s">
        <v>394</v>
      </c>
      <c r="C74" s="472">
        <v>2229</v>
      </c>
      <c r="D74" s="456" t="str">
        <f t="shared" si="3"/>
        <v>No</v>
      </c>
      <c r="E74" s="455" t="str">
        <f t="shared" si="4"/>
        <v>No</v>
      </c>
      <c r="F74" s="454" t="str">
        <f t="shared" si="5"/>
        <v>No</v>
      </c>
    </row>
    <row r="75" spans="2:6" ht="15.75" x14ac:dyDescent="0.25">
      <c r="B75" s="457" t="s">
        <v>380</v>
      </c>
      <c r="C75" s="472">
        <v>1597</v>
      </c>
      <c r="D75" s="456" t="str">
        <f t="shared" si="3"/>
        <v>No</v>
      </c>
      <c r="E75" s="455" t="str">
        <f t="shared" si="4"/>
        <v>No</v>
      </c>
      <c r="F75" s="454" t="str">
        <f t="shared" si="5"/>
        <v>No</v>
      </c>
    </row>
    <row r="76" spans="2:6" ht="15.75" x14ac:dyDescent="0.25">
      <c r="B76" s="457" t="s">
        <v>383</v>
      </c>
      <c r="C76" s="472">
        <v>1705</v>
      </c>
      <c r="D76" s="456" t="str">
        <f t="shared" si="3"/>
        <v>No</v>
      </c>
      <c r="E76" s="455" t="str">
        <f t="shared" si="4"/>
        <v>No</v>
      </c>
      <c r="F76" s="454" t="str">
        <f t="shared" si="5"/>
        <v>No</v>
      </c>
    </row>
    <row r="77" spans="2:6" ht="15.75" x14ac:dyDescent="0.25">
      <c r="B77" s="457" t="s">
        <v>119</v>
      </c>
      <c r="C77" s="472">
        <v>2053.25</v>
      </c>
      <c r="D77" s="456" t="str">
        <f t="shared" si="3"/>
        <v>No</v>
      </c>
      <c r="E77" s="455" t="str">
        <f t="shared" si="4"/>
        <v>No</v>
      </c>
      <c r="F77" s="454" t="str">
        <f t="shared" si="5"/>
        <v>No</v>
      </c>
    </row>
    <row r="78" spans="2:6" ht="15.75" x14ac:dyDescent="0.25">
      <c r="B78" s="457" t="s">
        <v>120</v>
      </c>
      <c r="C78" s="472">
        <v>1478</v>
      </c>
      <c r="D78" s="456" t="str">
        <f t="shared" si="3"/>
        <v>No</v>
      </c>
      <c r="E78" s="455" t="str">
        <f t="shared" si="4"/>
        <v>No</v>
      </c>
      <c r="F78" s="454" t="str">
        <f t="shared" si="5"/>
        <v>Yes</v>
      </c>
    </row>
    <row r="79" spans="2:6" ht="15.75" x14ac:dyDescent="0.25">
      <c r="B79" s="457" t="s">
        <v>121</v>
      </c>
      <c r="C79" s="472">
        <v>1362</v>
      </c>
      <c r="D79" s="456" t="str">
        <f t="shared" si="3"/>
        <v>No</v>
      </c>
      <c r="E79" s="455" t="str">
        <f t="shared" si="4"/>
        <v>No</v>
      </c>
      <c r="F79" s="454" t="str">
        <f t="shared" si="5"/>
        <v>Yes</v>
      </c>
    </row>
    <row r="80" spans="2:6" ht="15.75" x14ac:dyDescent="0.25">
      <c r="B80" s="457" t="s">
        <v>122</v>
      </c>
      <c r="C80" s="472">
        <v>1084</v>
      </c>
      <c r="D80" s="456" t="str">
        <f t="shared" si="3"/>
        <v>No</v>
      </c>
      <c r="E80" s="455" t="str">
        <f t="shared" si="4"/>
        <v>No</v>
      </c>
      <c r="F80" s="454" t="str">
        <f t="shared" si="5"/>
        <v>Yes</v>
      </c>
    </row>
    <row r="81" spans="2:6" ht="15.75" x14ac:dyDescent="0.25">
      <c r="B81" s="457" t="s">
        <v>123</v>
      </c>
      <c r="C81" s="472">
        <v>2346</v>
      </c>
      <c r="D81" s="456" t="str">
        <f t="shared" si="3"/>
        <v>No</v>
      </c>
      <c r="E81" s="455" t="str">
        <f t="shared" si="4"/>
        <v>No</v>
      </c>
      <c r="F81" s="454" t="str">
        <f t="shared" si="5"/>
        <v>No</v>
      </c>
    </row>
    <row r="82" spans="2:6" ht="15.75" x14ac:dyDescent="0.25">
      <c r="B82" s="457" t="s">
        <v>395</v>
      </c>
      <c r="C82" s="472">
        <v>1809</v>
      </c>
      <c r="D82" s="456" t="str">
        <f t="shared" si="3"/>
        <v>No</v>
      </c>
      <c r="E82" s="455" t="str">
        <f t="shared" si="4"/>
        <v>No</v>
      </c>
      <c r="F82" s="454" t="str">
        <f t="shared" si="5"/>
        <v>No</v>
      </c>
    </row>
    <row r="83" spans="2:6" ht="15.75" x14ac:dyDescent="0.25">
      <c r="B83" s="457" t="s">
        <v>378</v>
      </c>
      <c r="C83" s="472">
        <v>1536</v>
      </c>
      <c r="D83" s="456" t="str">
        <f t="shared" si="3"/>
        <v>No</v>
      </c>
      <c r="E83" s="455" t="str">
        <f t="shared" si="4"/>
        <v>No</v>
      </c>
      <c r="F83" s="454" t="str">
        <f t="shared" si="5"/>
        <v>No</v>
      </c>
    </row>
    <row r="84" spans="2:6" ht="15.75" x14ac:dyDescent="0.25">
      <c r="B84" s="457" t="s">
        <v>124</v>
      </c>
      <c r="C84" s="472">
        <v>2631</v>
      </c>
      <c r="D84" s="456" t="str">
        <f t="shared" si="3"/>
        <v>No</v>
      </c>
      <c r="E84" s="455" t="str">
        <f t="shared" si="4"/>
        <v>No</v>
      </c>
      <c r="F84" s="454" t="str">
        <f t="shared" si="5"/>
        <v>No</v>
      </c>
    </row>
    <row r="85" spans="2:6" ht="15.75" x14ac:dyDescent="0.25">
      <c r="B85" s="457" t="s">
        <v>390</v>
      </c>
      <c r="C85" s="472">
        <v>3190</v>
      </c>
      <c r="D85" s="456" t="str">
        <f t="shared" si="3"/>
        <v>No</v>
      </c>
      <c r="E85" s="455" t="str">
        <f t="shared" si="4"/>
        <v>No</v>
      </c>
      <c r="F85" s="454" t="str">
        <f t="shared" si="5"/>
        <v>No</v>
      </c>
    </row>
    <row r="86" spans="2:6" ht="15.75" x14ac:dyDescent="0.25">
      <c r="B86" s="457" t="s">
        <v>125</v>
      </c>
      <c r="C86" s="472">
        <v>3143.12</v>
      </c>
      <c r="D86" s="456" t="str">
        <f t="shared" si="3"/>
        <v>No</v>
      </c>
      <c r="E86" s="455" t="str">
        <f t="shared" si="4"/>
        <v>No</v>
      </c>
      <c r="F86" s="454" t="str">
        <f t="shared" si="5"/>
        <v>No</v>
      </c>
    </row>
    <row r="87" spans="2:6" ht="15.75" x14ac:dyDescent="0.25">
      <c r="B87" s="457" t="s">
        <v>126</v>
      </c>
      <c r="C87" s="472">
        <v>2526</v>
      </c>
      <c r="D87" s="456" t="str">
        <f t="shared" si="3"/>
        <v>No</v>
      </c>
      <c r="E87" s="455" t="str">
        <f t="shared" si="4"/>
        <v>No</v>
      </c>
      <c r="F87" s="454" t="str">
        <f t="shared" si="5"/>
        <v>No</v>
      </c>
    </row>
    <row r="88" spans="2:6" ht="15.75" x14ac:dyDescent="0.25">
      <c r="B88" s="457" t="s">
        <v>127</v>
      </c>
      <c r="C88" s="472">
        <v>3084.65</v>
      </c>
      <c r="D88" s="456" t="str">
        <f t="shared" si="3"/>
        <v>No</v>
      </c>
      <c r="E88" s="455" t="str">
        <f t="shared" si="4"/>
        <v>No</v>
      </c>
      <c r="F88" s="454" t="str">
        <f t="shared" si="5"/>
        <v>No</v>
      </c>
    </row>
    <row r="89" spans="2:6" ht="15.75" x14ac:dyDescent="0.25">
      <c r="B89" s="457" t="s">
        <v>128</v>
      </c>
      <c r="C89" s="472">
        <v>2729</v>
      </c>
      <c r="D89" s="456" t="str">
        <f t="shared" si="3"/>
        <v>No</v>
      </c>
      <c r="E89" s="455" t="str">
        <f t="shared" si="4"/>
        <v>No</v>
      </c>
      <c r="F89" s="454" t="str">
        <f t="shared" si="5"/>
        <v>No</v>
      </c>
    </row>
    <row r="90" spans="2:6" ht="15.75" x14ac:dyDescent="0.25">
      <c r="B90" s="457" t="s">
        <v>129</v>
      </c>
      <c r="C90" s="472">
        <v>2280.25</v>
      </c>
      <c r="D90" s="456" t="str">
        <f t="shared" si="3"/>
        <v>No</v>
      </c>
      <c r="E90" s="455" t="str">
        <f t="shared" si="4"/>
        <v>No</v>
      </c>
      <c r="F90" s="454" t="str">
        <f t="shared" si="5"/>
        <v>No</v>
      </c>
    </row>
    <row r="91" spans="2:6" ht="15.75" x14ac:dyDescent="0.25">
      <c r="B91" s="457" t="s">
        <v>130</v>
      </c>
      <c r="C91" s="472">
        <v>2440</v>
      </c>
      <c r="D91" s="456" t="str">
        <f t="shared" ref="D91:D122" si="6">IF(C91&lt;10,"Yes","No")</f>
        <v>No</v>
      </c>
      <c r="E91" s="455" t="str">
        <f t="shared" ref="E91:E122" si="7">IF(C91&gt;3900,"Yes","No")</f>
        <v>No</v>
      </c>
      <c r="F91" s="454" t="str">
        <f t="shared" ref="F91:F122" si="8">IF(C91&lt;1500,"Yes","No")</f>
        <v>No</v>
      </c>
    </row>
    <row r="92" spans="2:6" ht="15.75" x14ac:dyDescent="0.25">
      <c r="B92" s="457" t="s">
        <v>377</v>
      </c>
      <c r="C92" s="472">
        <v>1508</v>
      </c>
      <c r="D92" s="456" t="str">
        <f t="shared" si="6"/>
        <v>No</v>
      </c>
      <c r="E92" s="455" t="str">
        <f t="shared" si="7"/>
        <v>No</v>
      </c>
      <c r="F92" s="454" t="str">
        <f t="shared" si="8"/>
        <v>No</v>
      </c>
    </row>
    <row r="93" spans="2:6" ht="15.75" x14ac:dyDescent="0.25">
      <c r="B93" s="457" t="s">
        <v>131</v>
      </c>
      <c r="C93" s="472">
        <v>2138</v>
      </c>
      <c r="D93" s="456" t="str">
        <f t="shared" si="6"/>
        <v>No</v>
      </c>
      <c r="E93" s="455" t="str">
        <f t="shared" si="7"/>
        <v>No</v>
      </c>
      <c r="F93" s="454" t="str">
        <f t="shared" si="8"/>
        <v>No</v>
      </c>
    </row>
    <row r="94" spans="2:6" ht="15.75" x14ac:dyDescent="0.25">
      <c r="B94" s="457" t="s">
        <v>389</v>
      </c>
      <c r="C94" s="472">
        <v>3607</v>
      </c>
      <c r="D94" s="456" t="str">
        <f t="shared" si="6"/>
        <v>No</v>
      </c>
      <c r="E94" s="455" t="str">
        <f t="shared" si="7"/>
        <v>No</v>
      </c>
      <c r="F94" s="454" t="str">
        <f t="shared" si="8"/>
        <v>No</v>
      </c>
    </row>
    <row r="95" spans="2:6" ht="15.75" x14ac:dyDescent="0.25">
      <c r="B95" s="457" t="s">
        <v>132</v>
      </c>
      <c r="C95" s="472">
        <v>2070</v>
      </c>
      <c r="D95" s="456" t="str">
        <f t="shared" si="6"/>
        <v>No</v>
      </c>
      <c r="E95" s="455" t="str">
        <f t="shared" si="7"/>
        <v>No</v>
      </c>
      <c r="F95" s="454" t="str">
        <f t="shared" si="8"/>
        <v>No</v>
      </c>
    </row>
    <row r="96" spans="2:6" ht="15.75" x14ac:dyDescent="0.25">
      <c r="B96" s="457" t="s">
        <v>133</v>
      </c>
      <c r="C96" s="472">
        <v>1805</v>
      </c>
      <c r="D96" s="456" t="str">
        <f t="shared" si="6"/>
        <v>No</v>
      </c>
      <c r="E96" s="455" t="str">
        <f t="shared" si="7"/>
        <v>No</v>
      </c>
      <c r="F96" s="454" t="str">
        <f t="shared" si="8"/>
        <v>No</v>
      </c>
    </row>
    <row r="97" spans="2:6" ht="15.75" x14ac:dyDescent="0.25">
      <c r="B97" s="457" t="s">
        <v>134</v>
      </c>
      <c r="C97" s="472">
        <v>2238</v>
      </c>
      <c r="D97" s="456" t="str">
        <f t="shared" si="6"/>
        <v>No</v>
      </c>
      <c r="E97" s="455" t="str">
        <f t="shared" si="7"/>
        <v>No</v>
      </c>
      <c r="F97" s="454" t="str">
        <f t="shared" si="8"/>
        <v>No</v>
      </c>
    </row>
    <row r="98" spans="2:6" ht="15.75" x14ac:dyDescent="0.25">
      <c r="B98" s="457" t="s">
        <v>386</v>
      </c>
      <c r="C98" s="472">
        <v>1888</v>
      </c>
      <c r="D98" s="456" t="str">
        <f t="shared" si="6"/>
        <v>No</v>
      </c>
      <c r="E98" s="455" t="str">
        <f t="shared" si="7"/>
        <v>No</v>
      </c>
      <c r="F98" s="454" t="str">
        <f t="shared" si="8"/>
        <v>No</v>
      </c>
    </row>
    <row r="99" spans="2:6" ht="15.75" x14ac:dyDescent="0.25">
      <c r="B99" s="457" t="s">
        <v>135</v>
      </c>
      <c r="C99" s="472">
        <v>1386</v>
      </c>
      <c r="D99" s="456" t="str">
        <f t="shared" si="6"/>
        <v>No</v>
      </c>
      <c r="E99" s="455" t="str">
        <f t="shared" si="7"/>
        <v>No</v>
      </c>
      <c r="F99" s="454" t="str">
        <f t="shared" si="8"/>
        <v>Yes</v>
      </c>
    </row>
    <row r="100" spans="2:6" ht="15.75" x14ac:dyDescent="0.25">
      <c r="B100" s="457" t="s">
        <v>376</v>
      </c>
      <c r="C100" s="472">
        <v>1396</v>
      </c>
      <c r="D100" s="456" t="str">
        <f t="shared" si="6"/>
        <v>No</v>
      </c>
      <c r="E100" s="455" t="str">
        <f t="shared" si="7"/>
        <v>No</v>
      </c>
      <c r="F100" s="454" t="str">
        <f t="shared" si="8"/>
        <v>Yes</v>
      </c>
    </row>
    <row r="101" spans="2:6" ht="15.75" x14ac:dyDescent="0.25">
      <c r="B101" s="457" t="s">
        <v>457</v>
      </c>
      <c r="C101" s="472">
        <v>1411</v>
      </c>
      <c r="D101" s="456" t="str">
        <f t="shared" si="6"/>
        <v>No</v>
      </c>
      <c r="E101" s="455" t="str">
        <f t="shared" si="7"/>
        <v>No</v>
      </c>
      <c r="F101" s="454" t="str">
        <f t="shared" si="8"/>
        <v>Yes</v>
      </c>
    </row>
    <row r="102" spans="2:6" ht="15.75" x14ac:dyDescent="0.25">
      <c r="B102" s="457" t="s">
        <v>400</v>
      </c>
      <c r="C102" s="472">
        <v>601</v>
      </c>
      <c r="D102" s="456" t="str">
        <f t="shared" si="6"/>
        <v>No</v>
      </c>
      <c r="E102" s="455" t="str">
        <f t="shared" si="7"/>
        <v>No</v>
      </c>
      <c r="F102" s="454" t="str">
        <f t="shared" si="8"/>
        <v>Yes</v>
      </c>
    </row>
    <row r="103" spans="2:6" ht="15.75" x14ac:dyDescent="0.25">
      <c r="B103" s="457" t="s">
        <v>388</v>
      </c>
      <c r="C103" s="472">
        <v>2141</v>
      </c>
      <c r="D103" s="456" t="str">
        <f t="shared" si="6"/>
        <v>No</v>
      </c>
      <c r="E103" s="455" t="str">
        <f t="shared" si="7"/>
        <v>No</v>
      </c>
      <c r="F103" s="454" t="str">
        <f t="shared" si="8"/>
        <v>No</v>
      </c>
    </row>
    <row r="104" spans="2:6" ht="15.75" x14ac:dyDescent="0.25">
      <c r="B104" s="457" t="s">
        <v>398</v>
      </c>
      <c r="C104" s="472">
        <v>676</v>
      </c>
      <c r="D104" s="456" t="str">
        <f t="shared" si="6"/>
        <v>No</v>
      </c>
      <c r="E104" s="455" t="str">
        <f t="shared" si="7"/>
        <v>No</v>
      </c>
      <c r="F104" s="454" t="str">
        <f t="shared" si="8"/>
        <v>Yes</v>
      </c>
    </row>
    <row r="105" spans="2:6" ht="15.75" x14ac:dyDescent="0.25">
      <c r="B105" s="457" t="s">
        <v>385</v>
      </c>
      <c r="C105" s="472">
        <v>1765</v>
      </c>
      <c r="D105" s="456" t="str">
        <f t="shared" si="6"/>
        <v>No</v>
      </c>
      <c r="E105" s="455" t="str">
        <f t="shared" si="7"/>
        <v>No</v>
      </c>
      <c r="F105" s="454" t="str">
        <f t="shared" si="8"/>
        <v>No</v>
      </c>
    </row>
    <row r="106" spans="2:6" ht="15.75" x14ac:dyDescent="0.25">
      <c r="B106" s="457" t="s">
        <v>401</v>
      </c>
      <c r="C106" s="472">
        <v>466</v>
      </c>
      <c r="D106" s="456" t="str">
        <f t="shared" si="6"/>
        <v>No</v>
      </c>
      <c r="E106" s="455" t="str">
        <f t="shared" si="7"/>
        <v>No</v>
      </c>
      <c r="F106" s="454" t="str">
        <f t="shared" si="8"/>
        <v>Yes</v>
      </c>
    </row>
    <row r="107" spans="2:6" ht="15.75" x14ac:dyDescent="0.25">
      <c r="B107" s="457" t="s">
        <v>397</v>
      </c>
      <c r="C107" s="472">
        <v>733</v>
      </c>
      <c r="D107" s="456" t="str">
        <f t="shared" si="6"/>
        <v>No</v>
      </c>
      <c r="E107" s="455" t="str">
        <f t="shared" si="7"/>
        <v>No</v>
      </c>
      <c r="F107" s="454" t="str">
        <f t="shared" si="8"/>
        <v>Yes</v>
      </c>
    </row>
    <row r="108" spans="2:6" ht="15.75" x14ac:dyDescent="0.25">
      <c r="B108" s="457" t="s">
        <v>136</v>
      </c>
      <c r="C108" s="472">
        <v>8077</v>
      </c>
      <c r="D108" s="456" t="str">
        <f t="shared" si="6"/>
        <v>No</v>
      </c>
      <c r="E108" s="455" t="str">
        <f t="shared" si="7"/>
        <v>Yes</v>
      </c>
      <c r="F108" s="454" t="str">
        <f t="shared" si="8"/>
        <v>No</v>
      </c>
    </row>
    <row r="109" spans="2:6" ht="15.75" x14ac:dyDescent="0.25">
      <c r="B109" s="457" t="s">
        <v>137</v>
      </c>
      <c r="C109" s="472">
        <v>4657</v>
      </c>
      <c r="D109" s="456" t="str">
        <f t="shared" si="6"/>
        <v>No</v>
      </c>
      <c r="E109" s="455" t="str">
        <f t="shared" si="7"/>
        <v>Yes</v>
      </c>
      <c r="F109" s="454" t="str">
        <f t="shared" si="8"/>
        <v>No</v>
      </c>
    </row>
    <row r="110" spans="2:6" ht="15.75" x14ac:dyDescent="0.25">
      <c r="B110" s="457" t="s">
        <v>138</v>
      </c>
      <c r="C110" s="472">
        <v>14560</v>
      </c>
      <c r="D110" s="456" t="str">
        <f t="shared" si="6"/>
        <v>No</v>
      </c>
      <c r="E110" s="455" t="str">
        <f t="shared" si="7"/>
        <v>Yes</v>
      </c>
      <c r="F110" s="454" t="str">
        <f t="shared" si="8"/>
        <v>No</v>
      </c>
    </row>
    <row r="111" spans="2:6" ht="15.75" x14ac:dyDescent="0.25">
      <c r="B111" s="457" t="s">
        <v>416</v>
      </c>
      <c r="C111" s="472">
        <v>3985</v>
      </c>
      <c r="D111" s="456" t="str">
        <f t="shared" si="6"/>
        <v>No</v>
      </c>
      <c r="E111" s="455" t="str">
        <f t="shared" si="7"/>
        <v>Yes</v>
      </c>
      <c r="F111" s="454" t="str">
        <f t="shared" si="8"/>
        <v>No</v>
      </c>
    </row>
    <row r="112" spans="2:6" ht="15.75" x14ac:dyDescent="0.25">
      <c r="B112" s="457" t="s">
        <v>139</v>
      </c>
      <c r="C112" s="472">
        <v>13396</v>
      </c>
      <c r="D112" s="456" t="str">
        <f t="shared" si="6"/>
        <v>No</v>
      </c>
      <c r="E112" s="455" t="str">
        <f t="shared" si="7"/>
        <v>Yes</v>
      </c>
      <c r="F112" s="454" t="str">
        <f t="shared" si="8"/>
        <v>No</v>
      </c>
    </row>
    <row r="113" spans="2:6" ht="15.75" x14ac:dyDescent="0.25">
      <c r="B113" s="457" t="s">
        <v>399</v>
      </c>
      <c r="C113" s="472">
        <v>631</v>
      </c>
      <c r="D113" s="456" t="str">
        <f t="shared" si="6"/>
        <v>No</v>
      </c>
      <c r="E113" s="455" t="str">
        <f t="shared" si="7"/>
        <v>No</v>
      </c>
      <c r="F113" s="454" t="str">
        <f t="shared" si="8"/>
        <v>Yes</v>
      </c>
    </row>
    <row r="114" spans="2:6" ht="15.75" x14ac:dyDescent="0.25">
      <c r="B114" s="457" t="s">
        <v>405</v>
      </c>
      <c r="C114" s="472">
        <v>2</v>
      </c>
      <c r="D114" s="456" t="str">
        <f t="shared" si="6"/>
        <v>Yes</v>
      </c>
      <c r="E114" s="455" t="str">
        <f t="shared" si="7"/>
        <v>No</v>
      </c>
      <c r="F114" s="454" t="str">
        <f t="shared" si="8"/>
        <v>Yes</v>
      </c>
    </row>
    <row r="115" spans="2:6" ht="15.75" x14ac:dyDescent="0.25">
      <c r="B115" s="457" t="s">
        <v>198</v>
      </c>
      <c r="C115" s="472">
        <v>3</v>
      </c>
      <c r="D115" s="456" t="str">
        <f t="shared" si="6"/>
        <v>Yes</v>
      </c>
      <c r="E115" s="455" t="str">
        <f t="shared" si="7"/>
        <v>No</v>
      </c>
      <c r="F115" s="454" t="str">
        <f t="shared" si="8"/>
        <v>Yes</v>
      </c>
    </row>
    <row r="116" spans="2:6" ht="15.75" x14ac:dyDescent="0.25">
      <c r="B116" s="457" t="s">
        <v>200</v>
      </c>
      <c r="C116" s="472">
        <v>5</v>
      </c>
      <c r="D116" s="456" t="str">
        <f t="shared" si="6"/>
        <v>Yes</v>
      </c>
      <c r="E116" s="455" t="str">
        <f t="shared" si="7"/>
        <v>No</v>
      </c>
      <c r="F116" s="454" t="str">
        <f t="shared" si="8"/>
        <v>Yes</v>
      </c>
    </row>
    <row r="117" spans="2:6" ht="15.75" x14ac:dyDescent="0.25">
      <c r="B117" s="457" t="s">
        <v>195</v>
      </c>
      <c r="C117" s="472">
        <v>0</v>
      </c>
      <c r="D117" s="456" t="str">
        <f t="shared" si="6"/>
        <v>Yes</v>
      </c>
      <c r="E117" s="455" t="str">
        <f t="shared" si="7"/>
        <v>No</v>
      </c>
      <c r="F117" s="454" t="str">
        <f t="shared" si="8"/>
        <v>Yes</v>
      </c>
    </row>
    <row r="118" spans="2:6" ht="15.75" x14ac:dyDescent="0.25">
      <c r="B118" s="457" t="s">
        <v>419</v>
      </c>
      <c r="C118" s="472">
        <v>0</v>
      </c>
      <c r="D118" s="456" t="str">
        <f t="shared" si="6"/>
        <v>Yes</v>
      </c>
      <c r="E118" s="455" t="str">
        <f t="shared" si="7"/>
        <v>No</v>
      </c>
      <c r="F118" s="454" t="str">
        <f t="shared" si="8"/>
        <v>Yes</v>
      </c>
    </row>
    <row r="119" spans="2:6" ht="15.75" x14ac:dyDescent="0.25">
      <c r="B119" s="457" t="s">
        <v>418</v>
      </c>
      <c r="C119" s="472">
        <v>0</v>
      </c>
      <c r="D119" s="456" t="str">
        <f t="shared" si="6"/>
        <v>Yes</v>
      </c>
      <c r="E119" s="455" t="str">
        <f t="shared" si="7"/>
        <v>No</v>
      </c>
      <c r="F119" s="454" t="str">
        <f t="shared" si="8"/>
        <v>Yes</v>
      </c>
    </row>
    <row r="120" spans="2:6" ht="15.75" x14ac:dyDescent="0.25">
      <c r="B120" s="457" t="s">
        <v>196</v>
      </c>
      <c r="C120" s="472">
        <v>1</v>
      </c>
      <c r="D120" s="456" t="str">
        <f t="shared" si="6"/>
        <v>Yes</v>
      </c>
      <c r="E120" s="455" t="str">
        <f t="shared" si="7"/>
        <v>No</v>
      </c>
      <c r="F120" s="454" t="str">
        <f t="shared" si="8"/>
        <v>Yes</v>
      </c>
    </row>
    <row r="121" spans="2:6" ht="15.75" x14ac:dyDescent="0.25">
      <c r="B121" s="457" t="s">
        <v>447</v>
      </c>
      <c r="C121" s="472">
        <v>1</v>
      </c>
      <c r="D121" s="456" t="str">
        <f t="shared" si="6"/>
        <v>Yes</v>
      </c>
      <c r="E121" s="455" t="str">
        <f t="shared" si="7"/>
        <v>No</v>
      </c>
      <c r="F121" s="454" t="str">
        <f t="shared" si="8"/>
        <v>Yes</v>
      </c>
    </row>
    <row r="122" spans="2:6" ht="15.75" x14ac:dyDescent="0.25">
      <c r="B122" s="457" t="s">
        <v>448</v>
      </c>
      <c r="C122" s="472">
        <v>1</v>
      </c>
      <c r="D122" s="456" t="str">
        <f t="shared" si="6"/>
        <v>Yes</v>
      </c>
      <c r="E122" s="455" t="str">
        <f t="shared" si="7"/>
        <v>No</v>
      </c>
      <c r="F122" s="454" t="str">
        <f t="shared" si="8"/>
        <v>Yes</v>
      </c>
    </row>
    <row r="123" spans="2:6" ht="15.75" x14ac:dyDescent="0.25">
      <c r="B123" s="457" t="s">
        <v>402</v>
      </c>
      <c r="C123" s="472">
        <v>1</v>
      </c>
      <c r="D123" s="456" t="str">
        <f t="shared" ref="D123:D145" si="9">IF(C123&lt;10,"Yes","No")</f>
        <v>Yes</v>
      </c>
      <c r="E123" s="455" t="str">
        <f t="shared" ref="E123:E145" si="10">IF(C123&gt;3900,"Yes","No")</f>
        <v>No</v>
      </c>
      <c r="F123" s="454" t="str">
        <f t="shared" ref="F123:F145" si="11">IF(C123&lt;1500,"Yes","No")</f>
        <v>Yes</v>
      </c>
    </row>
    <row r="124" spans="2:6" ht="15.75" x14ac:dyDescent="0.25">
      <c r="B124" s="457" t="s">
        <v>449</v>
      </c>
      <c r="C124" s="472">
        <v>1</v>
      </c>
      <c r="D124" s="456" t="str">
        <f t="shared" si="9"/>
        <v>Yes</v>
      </c>
      <c r="E124" s="455" t="str">
        <f t="shared" si="10"/>
        <v>No</v>
      </c>
      <c r="F124" s="454" t="str">
        <f t="shared" si="11"/>
        <v>Yes</v>
      </c>
    </row>
    <row r="125" spans="2:6" ht="15.75" x14ac:dyDescent="0.25">
      <c r="B125" s="457" t="s">
        <v>450</v>
      </c>
      <c r="C125" s="472">
        <v>1</v>
      </c>
      <c r="D125" s="456" t="str">
        <f t="shared" si="9"/>
        <v>Yes</v>
      </c>
      <c r="E125" s="455" t="str">
        <f t="shared" si="10"/>
        <v>No</v>
      </c>
      <c r="F125" s="454" t="str">
        <f t="shared" si="11"/>
        <v>Yes</v>
      </c>
    </row>
    <row r="126" spans="2:6" ht="15.75" x14ac:dyDescent="0.25">
      <c r="B126" s="457" t="s">
        <v>451</v>
      </c>
      <c r="C126" s="472">
        <v>1</v>
      </c>
      <c r="D126" s="456" t="str">
        <f t="shared" si="9"/>
        <v>Yes</v>
      </c>
      <c r="E126" s="455" t="str">
        <f t="shared" si="10"/>
        <v>No</v>
      </c>
      <c r="F126" s="454" t="str">
        <f t="shared" si="11"/>
        <v>Yes</v>
      </c>
    </row>
    <row r="127" spans="2:6" ht="15.75" x14ac:dyDescent="0.25">
      <c r="B127" s="457" t="s">
        <v>404</v>
      </c>
      <c r="C127" s="472">
        <v>1</v>
      </c>
      <c r="D127" s="456" t="str">
        <f t="shared" si="9"/>
        <v>Yes</v>
      </c>
      <c r="E127" s="455" t="str">
        <f t="shared" si="10"/>
        <v>No</v>
      </c>
      <c r="F127" s="454" t="str">
        <f t="shared" si="11"/>
        <v>Yes</v>
      </c>
    </row>
    <row r="128" spans="2:6" ht="15.75" x14ac:dyDescent="0.25">
      <c r="B128" s="457" t="s">
        <v>403</v>
      </c>
      <c r="C128" s="472">
        <v>1</v>
      </c>
      <c r="D128" s="456" t="str">
        <f t="shared" si="9"/>
        <v>Yes</v>
      </c>
      <c r="E128" s="455" t="str">
        <f t="shared" si="10"/>
        <v>No</v>
      </c>
      <c r="F128" s="454" t="str">
        <f t="shared" si="11"/>
        <v>Yes</v>
      </c>
    </row>
    <row r="129" spans="2:6" ht="15.75" x14ac:dyDescent="0.25">
      <c r="B129" s="457" t="s">
        <v>452</v>
      </c>
      <c r="C129" s="472">
        <v>1</v>
      </c>
      <c r="D129" s="456" t="str">
        <f t="shared" si="9"/>
        <v>Yes</v>
      </c>
      <c r="E129" s="455" t="str">
        <f t="shared" si="10"/>
        <v>No</v>
      </c>
      <c r="F129" s="454" t="str">
        <f t="shared" si="11"/>
        <v>Yes</v>
      </c>
    </row>
    <row r="130" spans="2:6" ht="15.75" x14ac:dyDescent="0.25">
      <c r="B130" s="457" t="s">
        <v>453</v>
      </c>
      <c r="C130" s="472">
        <v>2</v>
      </c>
      <c r="D130" s="456" t="str">
        <f t="shared" si="9"/>
        <v>Yes</v>
      </c>
      <c r="E130" s="455" t="str">
        <f t="shared" si="10"/>
        <v>No</v>
      </c>
      <c r="F130" s="454" t="str">
        <f t="shared" si="11"/>
        <v>Yes</v>
      </c>
    </row>
    <row r="131" spans="2:6" ht="15.75" x14ac:dyDescent="0.25">
      <c r="B131" s="457" t="s">
        <v>140</v>
      </c>
      <c r="C131" s="472">
        <v>1640</v>
      </c>
      <c r="D131" s="456" t="str">
        <f t="shared" si="9"/>
        <v>No</v>
      </c>
      <c r="E131" s="455" t="str">
        <f t="shared" si="10"/>
        <v>No</v>
      </c>
      <c r="F131" s="454" t="str">
        <f t="shared" si="11"/>
        <v>No</v>
      </c>
    </row>
    <row r="132" spans="2:6" ht="15.75" x14ac:dyDescent="0.25">
      <c r="B132" s="457" t="s">
        <v>141</v>
      </c>
      <c r="C132" s="472">
        <v>6427.375</v>
      </c>
      <c r="D132" s="456" t="str">
        <f t="shared" si="9"/>
        <v>No</v>
      </c>
      <c r="E132" s="455" t="str">
        <f t="shared" si="10"/>
        <v>Yes</v>
      </c>
      <c r="F132" s="454" t="str">
        <f t="shared" si="11"/>
        <v>No</v>
      </c>
    </row>
    <row r="133" spans="2:6" ht="15.75" x14ac:dyDescent="0.25">
      <c r="B133" s="457" t="s">
        <v>442</v>
      </c>
      <c r="C133" s="472">
        <v>1221</v>
      </c>
      <c r="D133" s="456" t="str">
        <f t="shared" si="9"/>
        <v>No</v>
      </c>
      <c r="E133" s="455" t="str">
        <f t="shared" si="10"/>
        <v>No</v>
      </c>
      <c r="F133" s="454" t="str">
        <f t="shared" si="11"/>
        <v>Yes</v>
      </c>
    </row>
    <row r="134" spans="2:6" ht="15.75" x14ac:dyDescent="0.25">
      <c r="B134" s="457" t="s">
        <v>443</v>
      </c>
      <c r="C134" s="472">
        <v>1101</v>
      </c>
      <c r="D134" s="456" t="str">
        <f t="shared" si="9"/>
        <v>No</v>
      </c>
      <c r="E134" s="455" t="str">
        <f t="shared" si="10"/>
        <v>No</v>
      </c>
      <c r="F134" s="454" t="str">
        <f t="shared" si="11"/>
        <v>Yes</v>
      </c>
    </row>
    <row r="135" spans="2:6" ht="15.75" x14ac:dyDescent="0.25">
      <c r="B135" s="457" t="s">
        <v>379</v>
      </c>
      <c r="C135" s="472">
        <v>1569</v>
      </c>
      <c r="D135" s="456" t="str">
        <f t="shared" si="9"/>
        <v>No</v>
      </c>
      <c r="E135" s="455" t="str">
        <f t="shared" si="10"/>
        <v>No</v>
      </c>
      <c r="F135" s="454" t="str">
        <f t="shared" si="11"/>
        <v>No</v>
      </c>
    </row>
    <row r="136" spans="2:6" ht="15.75" x14ac:dyDescent="0.25">
      <c r="B136" s="457" t="s">
        <v>381</v>
      </c>
      <c r="C136" s="472">
        <v>1606</v>
      </c>
      <c r="D136" s="456" t="str">
        <f t="shared" si="9"/>
        <v>No</v>
      </c>
      <c r="E136" s="455" t="str">
        <f t="shared" si="10"/>
        <v>No</v>
      </c>
      <c r="F136" s="454" t="str">
        <f t="shared" si="11"/>
        <v>No</v>
      </c>
    </row>
    <row r="137" spans="2:6" ht="15.75" x14ac:dyDescent="0.25">
      <c r="B137" s="457" t="s">
        <v>384</v>
      </c>
      <c r="C137" s="472">
        <v>1731</v>
      </c>
      <c r="D137" s="456" t="str">
        <f t="shared" si="9"/>
        <v>No</v>
      </c>
      <c r="E137" s="455" t="str">
        <f t="shared" si="10"/>
        <v>No</v>
      </c>
      <c r="F137" s="454" t="str">
        <f t="shared" si="11"/>
        <v>No</v>
      </c>
    </row>
    <row r="138" spans="2:6" ht="15.75" x14ac:dyDescent="0.25">
      <c r="B138" s="457" t="s">
        <v>387</v>
      </c>
      <c r="C138" s="472">
        <v>1893</v>
      </c>
      <c r="D138" s="456" t="str">
        <f t="shared" si="9"/>
        <v>No</v>
      </c>
      <c r="E138" s="455" t="str">
        <f t="shared" si="10"/>
        <v>No</v>
      </c>
      <c r="F138" s="454" t="str">
        <f t="shared" si="11"/>
        <v>No</v>
      </c>
    </row>
    <row r="139" spans="2:6" ht="15.75" x14ac:dyDescent="0.25">
      <c r="B139" s="457" t="s">
        <v>392</v>
      </c>
      <c r="C139" s="472">
        <v>2377</v>
      </c>
      <c r="D139" s="456" t="str">
        <f t="shared" si="9"/>
        <v>No</v>
      </c>
      <c r="E139" s="455" t="str">
        <f t="shared" si="10"/>
        <v>No</v>
      </c>
      <c r="F139" s="454" t="str">
        <f t="shared" si="11"/>
        <v>No</v>
      </c>
    </row>
    <row r="140" spans="2:6" ht="15.75" x14ac:dyDescent="0.25">
      <c r="B140" s="457" t="s">
        <v>417</v>
      </c>
      <c r="C140" s="472">
        <v>0</v>
      </c>
      <c r="D140" s="456" t="str">
        <f t="shared" si="9"/>
        <v>Yes</v>
      </c>
      <c r="E140" s="455" t="str">
        <f t="shared" si="10"/>
        <v>No</v>
      </c>
      <c r="F140" s="454" t="str">
        <f t="shared" si="11"/>
        <v>Yes</v>
      </c>
    </row>
    <row r="141" spans="2:6" ht="15.75" x14ac:dyDescent="0.25">
      <c r="B141" s="457" t="s">
        <v>444</v>
      </c>
      <c r="C141" s="472">
        <v>1</v>
      </c>
      <c r="D141" s="456" t="str">
        <f t="shared" si="9"/>
        <v>Yes</v>
      </c>
      <c r="E141" s="455" t="str">
        <f t="shared" si="10"/>
        <v>No</v>
      </c>
      <c r="F141" s="454" t="str">
        <f t="shared" si="11"/>
        <v>Yes</v>
      </c>
    </row>
    <row r="142" spans="2:6" ht="15.75" x14ac:dyDescent="0.25">
      <c r="B142" s="457" t="s">
        <v>445</v>
      </c>
      <c r="C142" s="472">
        <v>1</v>
      </c>
      <c r="D142" s="456" t="str">
        <f t="shared" si="9"/>
        <v>Yes</v>
      </c>
      <c r="E142" s="455" t="str">
        <f t="shared" si="10"/>
        <v>No</v>
      </c>
      <c r="F142" s="454" t="str">
        <f t="shared" si="11"/>
        <v>Yes</v>
      </c>
    </row>
    <row r="143" spans="2:6" ht="15.75" x14ac:dyDescent="0.25">
      <c r="B143" s="457" t="s">
        <v>142</v>
      </c>
      <c r="C143" s="472">
        <v>1809</v>
      </c>
      <c r="D143" s="456" t="str">
        <f t="shared" si="9"/>
        <v>No</v>
      </c>
      <c r="E143" s="455" t="str">
        <f t="shared" si="10"/>
        <v>No</v>
      </c>
      <c r="F143" s="454" t="str">
        <f t="shared" si="11"/>
        <v>No</v>
      </c>
    </row>
    <row r="144" spans="2:6" ht="15.75" x14ac:dyDescent="0.25">
      <c r="B144" s="462" t="s">
        <v>143</v>
      </c>
      <c r="C144" s="473">
        <v>3804.9</v>
      </c>
      <c r="D144" s="456" t="str">
        <f t="shared" si="9"/>
        <v>No</v>
      </c>
      <c r="E144" s="455" t="str">
        <f t="shared" si="10"/>
        <v>No</v>
      </c>
      <c r="F144" s="454" t="str">
        <f t="shared" si="11"/>
        <v>No</v>
      </c>
    </row>
    <row r="145" spans="2:6" ht="16.5" thickBot="1" x14ac:dyDescent="0.3">
      <c r="B145" s="453" t="s">
        <v>393</v>
      </c>
      <c r="C145" s="474">
        <v>2375</v>
      </c>
      <c r="D145" s="452" t="str">
        <f t="shared" si="9"/>
        <v>No</v>
      </c>
      <c r="E145" s="451" t="str">
        <f t="shared" si="10"/>
        <v>No</v>
      </c>
      <c r="F145" s="450" t="str">
        <f t="shared" si="11"/>
        <v>No</v>
      </c>
    </row>
  </sheetData>
  <sheetProtection algorithmName="SHA-512" hashValue="SwfmRQ5pH5rmY/AifVI4kXNrlwcKxX3jKaY/fnJEFJoIxFhS8B2mwAqm596/C+0m5v0fa/6kPe/P93MA1Eaneg==" saltValue="BzuEiLSxMdxkq5Ueb57hkw==" spinCount="100000" sheet="1" objects="1" scenarios="1"/>
  <dataValidations disablePrompts="1" count="1">
    <dataValidation type="list" allowBlank="1" showInputMessage="1" showErrorMessage="1" sqref="B15:C15" xr:uid="{00000000-0002-0000-0700-000000000000}">
      <formula1>$B$27:$B$145</formula1>
    </dataValidation>
  </dataValidations>
  <hyperlinks>
    <hyperlink ref="A11" r:id="rId1" tooltip="FRIP Program Guidelines" xr:uid="{00000000-0004-0000-0700-000000000000}"/>
  </hyperlinks>
  <pageMargins left="0.7" right="0.7" top="0.98479166666666662" bottom="0.75" header="0.3" footer="0.3"/>
  <pageSetup scale="45" fitToHeight="0" orientation="landscape" r:id="rId2"/>
  <headerFooter>
    <oddFooter>&amp;L&amp;"Avenir LT Std 55 Roman,Regular"&amp;12&amp;K000000FINAL August 7, 2020&amp;C&amp;"Avenir LT Std 55 Roman,Regular"&amp;12Page &amp;P of &amp;N&amp;R&amp;"Avenir LT Std 55 Roman,Regular"&amp;12&amp;K000000&amp;A</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B1:K113"/>
  <sheetViews>
    <sheetView showGridLines="0" zoomScaleNormal="100" workbookViewId="0"/>
  </sheetViews>
  <sheetFormatPr defaultColWidth="9.140625" defaultRowHeight="15" x14ac:dyDescent="0.25"/>
  <cols>
    <col min="1" max="1" width="4.28515625" style="42" customWidth="1"/>
    <col min="2" max="2" width="44.42578125" style="42" customWidth="1"/>
    <col min="3" max="5" width="29.7109375" style="42" customWidth="1"/>
    <col min="6" max="8" width="28.5703125" style="42" customWidth="1"/>
    <col min="9" max="9" width="10" style="42" customWidth="1"/>
    <col min="10" max="10" width="15.140625" style="42" hidden="1" customWidth="1"/>
    <col min="11" max="11" width="15.28515625" style="42" hidden="1" customWidth="1"/>
    <col min="12" max="13" width="10" style="42" customWidth="1"/>
    <col min="14" max="16384" width="9.140625" style="42"/>
  </cols>
  <sheetData>
    <row r="1" spans="2:11" ht="18.75" customHeight="1" x14ac:dyDescent="0.25">
      <c r="B1" s="232"/>
      <c r="C1" s="232"/>
      <c r="D1" s="232"/>
      <c r="E1" s="232"/>
    </row>
    <row r="2" spans="2:11" ht="15" customHeight="1" x14ac:dyDescent="0.25">
      <c r="B2" s="233"/>
      <c r="C2" s="233"/>
      <c r="D2" s="233"/>
      <c r="E2" s="233"/>
    </row>
    <row r="3" spans="2:11" ht="18.75" customHeight="1" x14ac:dyDescent="0.25">
      <c r="B3" s="232"/>
      <c r="C3" s="232"/>
      <c r="D3" s="232"/>
      <c r="E3" s="232"/>
    </row>
    <row r="4" spans="2:11" ht="18.75" customHeight="1" x14ac:dyDescent="0.25">
      <c r="B4" s="234"/>
      <c r="C4" s="234"/>
      <c r="D4" s="234"/>
      <c r="E4" s="234"/>
    </row>
    <row r="5" spans="2:11" ht="15" customHeight="1" x14ac:dyDescent="0.25">
      <c r="B5" s="235"/>
      <c r="C5" s="235"/>
      <c r="D5" s="235"/>
      <c r="E5" s="235"/>
    </row>
    <row r="6" spans="2:11" ht="15" customHeight="1" x14ac:dyDescent="0.25">
      <c r="B6" s="182"/>
      <c r="C6" s="182"/>
      <c r="D6" s="182"/>
      <c r="E6" s="182"/>
    </row>
    <row r="7" spans="2:11" ht="18.75" customHeight="1" x14ac:dyDescent="0.25">
      <c r="B7" s="232"/>
      <c r="C7" s="232"/>
      <c r="D7" s="232"/>
      <c r="E7" s="232"/>
    </row>
    <row r="8" spans="2:11" ht="15" customHeight="1" x14ac:dyDescent="0.25"/>
    <row r="9" spans="2:11" ht="15" customHeight="1" thickBot="1" x14ac:dyDescent="0.3">
      <c r="E9" s="61"/>
      <c r="F9" s="62"/>
      <c r="G9" s="61"/>
    </row>
    <row r="10" spans="2:11" ht="16.5" thickBot="1" x14ac:dyDescent="0.3">
      <c r="B10" s="390" t="s">
        <v>598</v>
      </c>
      <c r="C10" s="485"/>
      <c r="D10" s="485"/>
      <c r="E10" s="391"/>
      <c r="F10" s="62"/>
      <c r="J10" s="66" t="e">
        <f>IF(OR(#REF!="Tier I",#REF!="Fuel Switching"),PRODUCT(#REF!,#REF!,#REF!), 0)</f>
        <v>#REF!</v>
      </c>
      <c r="K10" s="67" t="e">
        <f>IF(OR(#REF!="Tier I",#REF!="Fuel Switching"),PRODUCT(#REF!,#REF!,#REF!), 0)</f>
        <v>#REF!</v>
      </c>
    </row>
    <row r="11" spans="2:11" ht="50.25" x14ac:dyDescent="0.25">
      <c r="B11" s="513" t="s">
        <v>58</v>
      </c>
      <c r="C11" s="515" t="s">
        <v>561</v>
      </c>
      <c r="D11" s="565" t="s">
        <v>549</v>
      </c>
      <c r="E11" s="179" t="s">
        <v>496</v>
      </c>
      <c r="F11" s="62"/>
      <c r="J11" s="65"/>
    </row>
    <row r="12" spans="2:11" ht="16.5" thickBot="1" x14ac:dyDescent="0.3">
      <c r="B12" s="514" t="s">
        <v>203</v>
      </c>
      <c r="C12" s="516">
        <f>SUM(Inputs!AE22:AE41)</f>
        <v>0</v>
      </c>
      <c r="D12" s="177">
        <f>SUM(Inputs!AF22:AF41)</f>
        <v>0</v>
      </c>
      <c r="E12" s="224">
        <f>SUM(Inputs!AG22:AG41)</f>
        <v>0</v>
      </c>
      <c r="F12" s="62"/>
      <c r="J12" s="65"/>
    </row>
    <row r="13" spans="2:11" ht="15" customHeight="1" thickBot="1" x14ac:dyDescent="0.3">
      <c r="E13" s="183"/>
      <c r="F13" s="184"/>
      <c r="G13" s="183"/>
      <c r="H13" s="185"/>
    </row>
    <row r="14" spans="2:11" ht="18.75" customHeight="1" thickBot="1" x14ac:dyDescent="0.3">
      <c r="B14" s="390" t="s">
        <v>597</v>
      </c>
      <c r="C14" s="485"/>
      <c r="D14" s="391"/>
      <c r="G14" s="186"/>
      <c r="H14" s="186"/>
    </row>
    <row r="15" spans="2:11" ht="50.25" x14ac:dyDescent="0.25">
      <c r="B15" s="517" t="s">
        <v>58</v>
      </c>
      <c r="C15" s="635" t="s">
        <v>497</v>
      </c>
      <c r="D15" s="179" t="s">
        <v>596</v>
      </c>
      <c r="G15" s="187"/>
      <c r="H15" s="187"/>
    </row>
    <row r="16" spans="2:11" ht="16.5" thickBot="1" x14ac:dyDescent="0.3">
      <c r="B16" s="514" t="s">
        <v>599</v>
      </c>
      <c r="C16" s="516">
        <f>SUM(Inputs!AH22:AH41)-SUM(Inputs!AI22:AI41)</f>
        <v>0</v>
      </c>
      <c r="D16" s="224">
        <f>C16*'Emission Factors &lt;HIDE&gt;'!C13</f>
        <v>0</v>
      </c>
      <c r="G16" s="188"/>
      <c r="H16" s="188"/>
    </row>
    <row r="17" spans="2:10" ht="16.5" thickBot="1" x14ac:dyDescent="0.3">
      <c r="G17" s="188"/>
      <c r="H17" s="188"/>
    </row>
    <row r="18" spans="2:10" ht="16.5" thickBot="1" x14ac:dyDescent="0.3">
      <c r="B18" s="551" t="s">
        <v>148</v>
      </c>
      <c r="C18" s="394"/>
      <c r="D18" s="394"/>
      <c r="E18" s="392"/>
      <c r="J18" s="65"/>
    </row>
    <row r="19" spans="2:10" ht="19.5" customHeight="1" x14ac:dyDescent="0.25">
      <c r="B19" s="552" t="s">
        <v>325</v>
      </c>
      <c r="C19" s="519">
        <f>E12+D16</f>
        <v>0</v>
      </c>
      <c r="D19" s="519"/>
      <c r="E19" s="520"/>
      <c r="J19" s="65"/>
    </row>
    <row r="20" spans="2:10" ht="19.5" customHeight="1" x14ac:dyDescent="0.25">
      <c r="B20" s="553" t="s">
        <v>184</v>
      </c>
      <c r="C20" s="548" t="s">
        <v>182</v>
      </c>
      <c r="D20" s="64" t="s">
        <v>183</v>
      </c>
      <c r="E20" s="68" t="s">
        <v>29</v>
      </c>
      <c r="J20" s="65"/>
    </row>
    <row r="21" spans="2:10" ht="19.5" customHeight="1" x14ac:dyDescent="0.25">
      <c r="B21" s="554" t="s">
        <v>147</v>
      </c>
      <c r="C21" s="549">
        <v>0</v>
      </c>
      <c r="D21" s="178">
        <f>C16*'Emission Factors &lt;HIDE&gt;'!F31</f>
        <v>0</v>
      </c>
      <c r="E21" s="69">
        <f>SUM(C21:D21)</f>
        <v>0</v>
      </c>
      <c r="J21" s="65"/>
    </row>
    <row r="22" spans="2:10" ht="19.5" customHeight="1" x14ac:dyDescent="0.25">
      <c r="B22" s="554" t="s">
        <v>326</v>
      </c>
      <c r="C22" s="549">
        <v>0</v>
      </c>
      <c r="D22" s="178">
        <f>C16*'Emission Factors &lt;HIDE&gt;'!F32</f>
        <v>0</v>
      </c>
      <c r="E22" s="69">
        <f>SUM(C22:D22)</f>
        <v>0</v>
      </c>
      <c r="J22" s="65"/>
    </row>
    <row r="23" spans="2:10" ht="19.5" customHeight="1" x14ac:dyDescent="0.25">
      <c r="B23" s="554" t="s">
        <v>327</v>
      </c>
      <c r="C23" s="550">
        <v>0</v>
      </c>
      <c r="D23" s="178">
        <f>C16*'Emission Factors &lt;HIDE&gt;'!F35</f>
        <v>0</v>
      </c>
      <c r="E23" s="547">
        <f>SUM(C23:D23)</f>
        <v>0</v>
      </c>
      <c r="J23" s="65"/>
    </row>
    <row r="24" spans="2:10" ht="19.5" customHeight="1" x14ac:dyDescent="0.25">
      <c r="B24" s="554" t="s">
        <v>328</v>
      </c>
      <c r="C24" s="550">
        <v>0</v>
      </c>
      <c r="D24" s="178">
        <f>C16*'Emission Factors &lt;HIDE&gt;'!F34</f>
        <v>0</v>
      </c>
      <c r="E24" s="547">
        <f>SUM(C24:D24)</f>
        <v>0</v>
      </c>
      <c r="J24" s="65"/>
    </row>
    <row r="25" spans="2:10" ht="19.5" customHeight="1" thickBot="1" x14ac:dyDescent="0.3">
      <c r="B25" s="555" t="s">
        <v>502</v>
      </c>
      <c r="C25" s="518">
        <v>0</v>
      </c>
      <c r="D25" s="177">
        <v>0</v>
      </c>
      <c r="E25" s="224">
        <v>0</v>
      </c>
      <c r="J25" s="65"/>
    </row>
    <row r="26" spans="2:10" ht="16.5" thickBot="1" x14ac:dyDescent="0.3">
      <c r="J26" s="65"/>
    </row>
    <row r="27" spans="2:10" ht="16.5" thickBot="1" x14ac:dyDescent="0.3">
      <c r="B27" s="393" t="s">
        <v>308</v>
      </c>
      <c r="C27" s="392"/>
      <c r="J27" s="65"/>
    </row>
    <row r="28" spans="2:10" ht="31.5" customHeight="1" x14ac:dyDescent="0.25">
      <c r="B28" s="521" t="s">
        <v>39</v>
      </c>
      <c r="C28" s="522">
        <f>C16*'Fuel Prices &lt;HIDE&gt;'!C12</f>
        <v>0</v>
      </c>
      <c r="J28" s="65"/>
    </row>
    <row r="29" spans="2:10" ht="31.5" customHeight="1" thickBot="1" x14ac:dyDescent="0.3">
      <c r="B29" s="604" t="s">
        <v>40</v>
      </c>
      <c r="C29" s="523">
        <f>C16</f>
        <v>0</v>
      </c>
      <c r="J29" s="65"/>
    </row>
    <row r="30" spans="2:10" ht="15.75" x14ac:dyDescent="0.25">
      <c r="F30" s="62"/>
      <c r="J30" s="65"/>
    </row>
    <row r="31" spans="2:10" ht="15.75" x14ac:dyDescent="0.25">
      <c r="F31" s="62"/>
      <c r="J31" s="65"/>
    </row>
    <row r="32" spans="2:10" ht="15.75" x14ac:dyDescent="0.25">
      <c r="F32" s="62"/>
      <c r="J32" s="65"/>
    </row>
    <row r="33" spans="6:10" ht="15.75" x14ac:dyDescent="0.25">
      <c r="J33" s="65"/>
    </row>
    <row r="34" spans="6:10" ht="15.75" x14ac:dyDescent="0.25">
      <c r="J34" s="65"/>
    </row>
    <row r="35" spans="6:10" ht="15.75" x14ac:dyDescent="0.25">
      <c r="J35" s="65"/>
    </row>
    <row r="36" spans="6:10" ht="15.75" x14ac:dyDescent="0.25">
      <c r="J36" s="65"/>
    </row>
    <row r="37" spans="6:10" ht="15.75" x14ac:dyDescent="0.25">
      <c r="J37" s="65"/>
    </row>
    <row r="38" spans="6:10" ht="15.75" x14ac:dyDescent="0.25">
      <c r="J38" s="65"/>
    </row>
    <row r="39" spans="6:10" ht="15.75" x14ac:dyDescent="0.25">
      <c r="J39" s="65"/>
    </row>
    <row r="40" spans="6:10" ht="15.75" x14ac:dyDescent="0.25">
      <c r="J40" s="65" t="e">
        <f>IF(OR(#REF!="Tier I",#REF!="Fuel Switching"),PRODUCT(#REF!,#REF!,#REF!), "")</f>
        <v>#REF!</v>
      </c>
    </row>
    <row r="41" spans="6:10" ht="15.75" x14ac:dyDescent="0.25">
      <c r="J41" s="65" t="e">
        <f>IF(OR(#REF!="Tier I",#REF!="Fuel Switching"),PRODUCT(#REF!,#REF!,#REF!), "")</f>
        <v>#REF!</v>
      </c>
    </row>
    <row r="42" spans="6:10" ht="15.75" x14ac:dyDescent="0.25">
      <c r="J42" s="65" t="e">
        <f>IF(OR(#REF!="Tier I",#REF!="Fuel Switching"),PRODUCT(#REF!,#REF!,#REF!), "")</f>
        <v>#REF!</v>
      </c>
    </row>
    <row r="43" spans="6:10" ht="15.75" x14ac:dyDescent="0.25">
      <c r="J43" s="65" t="e">
        <f>IF(OR(#REF!="Tier I",#REF!="Fuel Switching"),PRODUCT(#REF!,#REF!,#REF!), "")</f>
        <v>#REF!</v>
      </c>
    </row>
    <row r="44" spans="6:10" ht="15.75" x14ac:dyDescent="0.25">
      <c r="J44" s="65" t="e">
        <f>IF(OR(#REF!="Tier I",#REF!="Fuel Switching"),PRODUCT(#REF!,#REF!,#REF!), "")</f>
        <v>#REF!</v>
      </c>
    </row>
    <row r="45" spans="6:10" ht="15.75" x14ac:dyDescent="0.25">
      <c r="J45" s="65" t="e">
        <f>IF(OR(#REF!="Tier I",#REF!="Fuel Switching"),PRODUCT(#REF!,#REF!,#REF!), "")</f>
        <v>#REF!</v>
      </c>
    </row>
    <row r="46" spans="6:10" ht="15.75" x14ac:dyDescent="0.25">
      <c r="F46" s="62"/>
      <c r="J46" s="65" t="e">
        <f>IF(OR(#REF!="Tier I",#REF!="Fuel Switching"),PRODUCT(#REF!,#REF!,#REF!), "")</f>
        <v>#REF!</v>
      </c>
    </row>
    <row r="47" spans="6:10" ht="15.75" x14ac:dyDescent="0.25">
      <c r="F47" s="62"/>
      <c r="J47" s="65" t="e">
        <f>IF(OR(#REF!="Tier I",#REF!="Fuel Switching"),PRODUCT(#REF!,#REF!,#REF!), "")</f>
        <v>#REF!</v>
      </c>
    </row>
    <row r="48" spans="6:10" ht="15.75" x14ac:dyDescent="0.25">
      <c r="F48" s="62"/>
      <c r="J48" s="65" t="e">
        <f>IF(OR(#REF!="Tier I",#REF!="Fuel Switching"),PRODUCT(#REF!,#REF!,#REF!), "")</f>
        <v>#REF!</v>
      </c>
    </row>
    <row r="49" spans="6:10" ht="15.75" x14ac:dyDescent="0.25">
      <c r="F49" s="62"/>
      <c r="J49" s="65" t="e">
        <f>IF(OR(#REF!="Tier I",#REF!="Fuel Switching"),PRODUCT(#REF!,#REF!,#REF!), "")</f>
        <v>#REF!</v>
      </c>
    </row>
    <row r="50" spans="6:10" ht="15.75" x14ac:dyDescent="0.25">
      <c r="F50" s="62"/>
      <c r="J50" s="65" t="e">
        <f>IF(OR(#REF!="Tier I",#REF!="Fuel Switching"),PRODUCT(#REF!,#REF!,#REF!), "")</f>
        <v>#REF!</v>
      </c>
    </row>
    <row r="51" spans="6:10" ht="15.75" x14ac:dyDescent="0.25">
      <c r="F51" s="62"/>
      <c r="J51" s="65" t="e">
        <f>IF(OR(#REF!="Tier I",#REF!="Fuel Switching"),PRODUCT(#REF!,#REF!,#REF!), "")</f>
        <v>#REF!</v>
      </c>
    </row>
    <row r="52" spans="6:10" ht="15.75" x14ac:dyDescent="0.25">
      <c r="F52" s="62"/>
      <c r="J52" s="65" t="e">
        <f>IF(OR(#REF!="Tier I",#REF!="Fuel Switching"),PRODUCT(#REF!,#REF!,#REF!), "")</f>
        <v>#REF!</v>
      </c>
    </row>
    <row r="53" spans="6:10" ht="15.75" x14ac:dyDescent="0.25">
      <c r="F53" s="62"/>
      <c r="J53" s="65" t="e">
        <f>IF(OR(#REF!="Tier I",#REF!="Fuel Switching"),PRODUCT(#REF!,#REF!,#REF!), "")</f>
        <v>#REF!</v>
      </c>
    </row>
    <row r="54" spans="6:10" ht="15.75" x14ac:dyDescent="0.25">
      <c r="F54" s="62"/>
      <c r="J54" s="65" t="e">
        <f>IF(OR(#REF!="Tier I",#REF!="Fuel Switching"),PRODUCT(#REF!,#REF!,#REF!), "")</f>
        <v>#REF!</v>
      </c>
    </row>
    <row r="55" spans="6:10" ht="15.75" x14ac:dyDescent="0.25">
      <c r="F55" s="62"/>
      <c r="J55" s="65" t="e">
        <f>IF(OR(#REF!="Tier I",#REF!="Fuel Switching"),PRODUCT(#REF!,#REF!,#REF!), "")</f>
        <v>#REF!</v>
      </c>
    </row>
    <row r="56" spans="6:10" ht="15.75" x14ac:dyDescent="0.25">
      <c r="F56" s="62"/>
      <c r="J56" s="65" t="e">
        <f>IF(OR(#REF!="Tier I",#REF!="Fuel Switching"),PRODUCT(#REF!,#REF!,#REF!), "")</f>
        <v>#REF!</v>
      </c>
    </row>
    <row r="57" spans="6:10" ht="15.75" x14ac:dyDescent="0.25">
      <c r="F57" s="62"/>
      <c r="J57" s="65" t="e">
        <f>IF(OR(#REF!="Tier I",#REF!="Fuel Switching"),PRODUCT(#REF!,#REF!,#REF!), "")</f>
        <v>#REF!</v>
      </c>
    </row>
    <row r="58" spans="6:10" ht="15.75" x14ac:dyDescent="0.25">
      <c r="F58" s="62"/>
      <c r="J58" s="65" t="e">
        <f>IF(OR(#REF!="Tier I",#REF!="Fuel Switching"),PRODUCT(#REF!,#REF!,#REF!), "")</f>
        <v>#REF!</v>
      </c>
    </row>
    <row r="59" spans="6:10" ht="15.75" x14ac:dyDescent="0.25">
      <c r="F59" s="62"/>
      <c r="J59" s="65" t="e">
        <f>IF(OR(#REF!="Tier I",#REF!="Fuel Switching"),PRODUCT(#REF!,#REF!,#REF!), "")</f>
        <v>#REF!</v>
      </c>
    </row>
    <row r="60" spans="6:10" ht="15.75" x14ac:dyDescent="0.25">
      <c r="F60" s="62"/>
      <c r="J60" s="65" t="e">
        <f>IF(OR(#REF!="Tier I",#REF!="Fuel Switching"),PRODUCT(#REF!,#REF!,#REF!), "")</f>
        <v>#REF!</v>
      </c>
    </row>
    <row r="61" spans="6:10" ht="15.75" x14ac:dyDescent="0.25">
      <c r="F61" s="62"/>
      <c r="J61" s="65" t="e">
        <f>IF(OR(#REF!="Tier I",#REF!="Fuel Switching"),PRODUCT(#REF!,#REF!,#REF!), "")</f>
        <v>#REF!</v>
      </c>
    </row>
    <row r="62" spans="6:10" ht="15.75" x14ac:dyDescent="0.25">
      <c r="F62" s="62"/>
      <c r="J62" s="65" t="e">
        <f>IF(OR(#REF!="Tier I",#REF!="Fuel Switching"),PRODUCT(#REF!,#REF!,#REF!), "")</f>
        <v>#REF!</v>
      </c>
    </row>
    <row r="63" spans="6:10" ht="15.75" x14ac:dyDescent="0.25">
      <c r="F63" s="62"/>
      <c r="J63" s="65" t="e">
        <f>IF(OR(#REF!="Tier I",#REF!="Fuel Switching"),PRODUCT(#REF!,#REF!,#REF!), "")</f>
        <v>#REF!</v>
      </c>
    </row>
    <row r="64" spans="6:10" ht="15.75" x14ac:dyDescent="0.25">
      <c r="F64" s="62"/>
      <c r="J64" s="65" t="e">
        <f>IF(OR(#REF!="Tier I",#REF!="Fuel Switching"),PRODUCT(#REF!,#REF!,#REF!), "")</f>
        <v>#REF!</v>
      </c>
    </row>
    <row r="65" spans="6:10" ht="15.75" x14ac:dyDescent="0.25">
      <c r="F65" s="62"/>
      <c r="J65" s="65" t="e">
        <f>IF(OR(#REF!="Tier I",#REF!="Fuel Switching"),PRODUCT(#REF!,#REF!,#REF!), "")</f>
        <v>#REF!</v>
      </c>
    </row>
    <row r="66" spans="6:10" ht="15.75" x14ac:dyDescent="0.25">
      <c r="F66" s="62"/>
      <c r="J66" s="65" t="e">
        <f>IF(OR(#REF!="Tier I",#REF!="Fuel Switching"),PRODUCT(#REF!,#REF!,#REF!), "")</f>
        <v>#REF!</v>
      </c>
    </row>
    <row r="67" spans="6:10" ht="15.75" x14ac:dyDescent="0.25">
      <c r="F67" s="62"/>
      <c r="J67" s="65" t="e">
        <f>IF(OR(#REF!="Tier I",#REF!="Fuel Switching"),PRODUCT(#REF!,#REF!,#REF!), "")</f>
        <v>#REF!</v>
      </c>
    </row>
    <row r="68" spans="6:10" ht="15.75" x14ac:dyDescent="0.25">
      <c r="F68" s="62"/>
      <c r="J68" s="65" t="e">
        <f>IF(OR(#REF!="Tier I",#REF!="Fuel Switching"),PRODUCT(#REF!,#REF!,#REF!), "")</f>
        <v>#REF!</v>
      </c>
    </row>
    <row r="69" spans="6:10" ht="15.75" x14ac:dyDescent="0.25">
      <c r="F69" s="62"/>
      <c r="J69" s="65" t="e">
        <f>IF(OR(#REF!="Tier I",#REF!="Fuel Switching"),PRODUCT(#REF!,#REF!,#REF!), "")</f>
        <v>#REF!</v>
      </c>
    </row>
    <row r="70" spans="6:10" ht="15.75" x14ac:dyDescent="0.25">
      <c r="F70" s="62"/>
      <c r="J70" s="65" t="e">
        <f>IF(OR(#REF!="Tier I",#REF!="Fuel Switching"),PRODUCT(#REF!,#REF!,#REF!), "")</f>
        <v>#REF!</v>
      </c>
    </row>
    <row r="71" spans="6:10" ht="15.75" x14ac:dyDescent="0.25">
      <c r="F71" s="62"/>
      <c r="J71" s="65" t="e">
        <f>IF(OR(#REF!="Tier I",#REF!="Fuel Switching"),PRODUCT(#REF!,#REF!,#REF!), "")</f>
        <v>#REF!</v>
      </c>
    </row>
    <row r="72" spans="6:10" ht="15.75" x14ac:dyDescent="0.25">
      <c r="F72" s="62"/>
      <c r="J72" s="65" t="e">
        <f>IF(OR(#REF!="Tier I",#REF!="Fuel Switching"),PRODUCT(#REF!,#REF!,#REF!), "")</f>
        <v>#REF!</v>
      </c>
    </row>
    <row r="73" spans="6:10" ht="15.75" x14ac:dyDescent="0.25">
      <c r="F73" s="62"/>
      <c r="J73" s="65" t="e">
        <f>IF(OR(#REF!="Tier I",#REF!="Fuel Switching"),PRODUCT(#REF!,#REF!,#REF!), "")</f>
        <v>#REF!</v>
      </c>
    </row>
    <row r="74" spans="6:10" ht="15.75" x14ac:dyDescent="0.25">
      <c r="F74" s="62"/>
      <c r="J74" s="65" t="e">
        <f>IF(OR(#REF!="Tier I",#REF!="Fuel Switching"),PRODUCT(#REF!,#REF!,#REF!), "")</f>
        <v>#REF!</v>
      </c>
    </row>
    <row r="75" spans="6:10" ht="15.75" x14ac:dyDescent="0.25">
      <c r="F75" s="62"/>
      <c r="J75" s="65" t="e">
        <f>IF(OR(#REF!="Tier I",#REF!="Fuel Switching"),PRODUCT(#REF!,#REF!,#REF!), "")</f>
        <v>#REF!</v>
      </c>
    </row>
    <row r="76" spans="6:10" ht="15.75" x14ac:dyDescent="0.25">
      <c r="F76" s="62"/>
      <c r="J76" s="65" t="e">
        <f>IF(OR(#REF!="Tier I",#REF!="Fuel Switching"),PRODUCT(#REF!,#REF!,#REF!), "")</f>
        <v>#REF!</v>
      </c>
    </row>
    <row r="77" spans="6:10" ht="15.75" x14ac:dyDescent="0.25">
      <c r="F77" s="62"/>
      <c r="J77" s="65" t="e">
        <f>IF(OR(#REF!="Tier I",#REF!="Fuel Switching"),PRODUCT(#REF!,#REF!,#REF!), "")</f>
        <v>#REF!</v>
      </c>
    </row>
    <row r="78" spans="6:10" ht="15.75" x14ac:dyDescent="0.25">
      <c r="F78" s="62"/>
      <c r="J78" s="65" t="e">
        <f>IF(OR(#REF!="Tier I",#REF!="Fuel Switching"),PRODUCT(#REF!,#REF!,#REF!), "")</f>
        <v>#REF!</v>
      </c>
    </row>
    <row r="79" spans="6:10" ht="15.75" x14ac:dyDescent="0.25">
      <c r="F79" s="62"/>
      <c r="J79" s="65" t="e">
        <f>IF(OR(#REF!="Tier I",#REF!="Fuel Switching"),PRODUCT(#REF!,#REF!,#REF!), "")</f>
        <v>#REF!</v>
      </c>
    </row>
    <row r="80" spans="6:10" ht="15.75" x14ac:dyDescent="0.25">
      <c r="F80" s="62"/>
      <c r="J80" s="65" t="e">
        <f>IF(OR(#REF!="Tier I",#REF!="Fuel Switching"),PRODUCT(#REF!,#REF!,#REF!), "")</f>
        <v>#REF!</v>
      </c>
    </row>
    <row r="81" spans="6:10" ht="15.75" x14ac:dyDescent="0.25">
      <c r="F81" s="62"/>
      <c r="J81" s="65" t="e">
        <f>IF(OR(#REF!="Tier I",#REF!="Fuel Switching"),PRODUCT(#REF!,#REF!,#REF!), "")</f>
        <v>#REF!</v>
      </c>
    </row>
    <row r="82" spans="6:10" ht="15.75" x14ac:dyDescent="0.25">
      <c r="F82" s="62"/>
      <c r="J82" s="65" t="e">
        <f>IF(OR(#REF!="Tier I",#REF!="Fuel Switching"),PRODUCT(#REF!,#REF!,#REF!), "")</f>
        <v>#REF!</v>
      </c>
    </row>
    <row r="83" spans="6:10" ht="15.75" x14ac:dyDescent="0.25">
      <c r="F83" s="62"/>
    </row>
    <row r="84" spans="6:10" ht="15.75" x14ac:dyDescent="0.25">
      <c r="F84" s="62"/>
    </row>
    <row r="85" spans="6:10" ht="15.75" x14ac:dyDescent="0.25">
      <c r="F85" s="62"/>
    </row>
    <row r="86" spans="6:10" ht="15.75" x14ac:dyDescent="0.25">
      <c r="F86" s="62"/>
    </row>
    <row r="87" spans="6:10" ht="15.75" x14ac:dyDescent="0.25">
      <c r="F87" s="62"/>
    </row>
    <row r="88" spans="6:10" ht="15.75" x14ac:dyDescent="0.25">
      <c r="F88" s="62"/>
    </row>
    <row r="89" spans="6:10" ht="15.75" x14ac:dyDescent="0.25">
      <c r="F89" s="62"/>
    </row>
    <row r="90" spans="6:10" ht="15.75" x14ac:dyDescent="0.25">
      <c r="F90" s="62"/>
    </row>
    <row r="91" spans="6:10" ht="15.75" x14ac:dyDescent="0.25">
      <c r="F91" s="62"/>
    </row>
    <row r="92" spans="6:10" ht="15.75" x14ac:dyDescent="0.25">
      <c r="F92" s="62"/>
    </row>
    <row r="93" spans="6:10" ht="15.75" x14ac:dyDescent="0.25">
      <c r="F93" s="62"/>
    </row>
    <row r="94" spans="6:10" ht="15.75" x14ac:dyDescent="0.25">
      <c r="F94" s="62"/>
    </row>
    <row r="95" spans="6:10" ht="15.75" x14ac:dyDescent="0.25">
      <c r="F95" s="62"/>
    </row>
    <row r="96" spans="6:10" ht="15.75" x14ac:dyDescent="0.25">
      <c r="F96" s="62"/>
    </row>
    <row r="97" spans="6:6" ht="15.75" x14ac:dyDescent="0.25">
      <c r="F97" s="62"/>
    </row>
    <row r="98" spans="6:6" ht="15.75" x14ac:dyDescent="0.25">
      <c r="F98" s="62"/>
    </row>
    <row r="99" spans="6:6" ht="15.75" x14ac:dyDescent="0.25">
      <c r="F99" s="62"/>
    </row>
    <row r="100" spans="6:6" ht="15.75" x14ac:dyDescent="0.25">
      <c r="F100" s="62"/>
    </row>
    <row r="101" spans="6:6" ht="15.75" x14ac:dyDescent="0.25">
      <c r="F101" s="62"/>
    </row>
    <row r="102" spans="6:6" ht="15.75" x14ac:dyDescent="0.25">
      <c r="F102" s="62"/>
    </row>
    <row r="103" spans="6:6" ht="15.75" x14ac:dyDescent="0.25">
      <c r="F103" s="62"/>
    </row>
    <row r="104" spans="6:6" ht="15.75" x14ac:dyDescent="0.25">
      <c r="F104" s="62"/>
    </row>
    <row r="105" spans="6:6" ht="15.75" x14ac:dyDescent="0.25">
      <c r="F105" s="62"/>
    </row>
    <row r="106" spans="6:6" ht="15.75" x14ac:dyDescent="0.25">
      <c r="F106" s="62"/>
    </row>
    <row r="107" spans="6:6" ht="15.75" x14ac:dyDescent="0.25">
      <c r="F107" s="62"/>
    </row>
    <row r="108" spans="6:6" ht="15.75" x14ac:dyDescent="0.25">
      <c r="F108" s="62"/>
    </row>
    <row r="109" spans="6:6" ht="15.75" x14ac:dyDescent="0.25">
      <c r="F109" s="62"/>
    </row>
    <row r="110" spans="6:6" ht="15.75" x14ac:dyDescent="0.25">
      <c r="F110" s="62"/>
    </row>
    <row r="111" spans="6:6" ht="15.75" x14ac:dyDescent="0.25">
      <c r="F111" s="62"/>
    </row>
    <row r="112" spans="6:6" ht="15.75" x14ac:dyDescent="0.25">
      <c r="F112" s="62"/>
    </row>
    <row r="113" spans="6:6" ht="15.75" x14ac:dyDescent="0.25">
      <c r="F113" s="62"/>
    </row>
  </sheetData>
  <pageMargins left="0.7" right="0.7" top="0.98479166666666662" bottom="0.75" header="0.3" footer="0.3"/>
  <pageSetup scale="71" fitToHeight="0" orientation="landscape" r:id="rId1"/>
  <headerFooter>
    <oddFooter>&amp;L&amp;"Avenir LT Std 55 Roman,Regular"&amp;12&amp;K000000FINAL August 5, 2020&amp;C&amp;"Avenir LT Std 55 Roman,Regular"&amp;12Page &amp;P of &amp;N&amp;R&amp;"Avenir LT Std 55 Roman,Regular"&amp;12&amp;K000000&amp;A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Read Me</vt:lpstr>
      <vt:lpstr>Project Info</vt:lpstr>
      <vt:lpstr>Inputs</vt:lpstr>
      <vt:lpstr>Inputs_AB1550</vt:lpstr>
      <vt:lpstr>Benefits Summary</vt:lpstr>
      <vt:lpstr>Definitions -AND- Conversions</vt:lpstr>
      <vt:lpstr>Documentation</vt:lpstr>
      <vt:lpstr>Eligibility Reference</vt:lpstr>
      <vt:lpstr>Calculations &lt;HIDE&gt;</vt:lpstr>
      <vt:lpstr>Emission Factors &lt;HIDE&gt;</vt:lpstr>
      <vt:lpstr>Fuel Prices &lt;HIDE&gt;</vt:lpstr>
      <vt:lpstr>Defaults &lt;HIDE&gt;</vt:lpstr>
      <vt:lpstr>CCIRTS &lt;HIDE&gt;</vt:lpstr>
      <vt:lpstr>'Fuel Prices &lt;HIDE&gt;'!_ftnref2</vt:lpstr>
      <vt:lpstr>'Fuel Prices &lt;HIDE&gt;'!_Toc525572044</vt:lpstr>
      <vt:lpstr>'Benefits Summary'!Print_Area</vt:lpstr>
      <vt:lpstr>'Calculations &lt;HIDE&gt;'!Print_Area</vt:lpstr>
      <vt:lpstr>Documentation!Print_Area</vt:lpstr>
      <vt:lpstr>'Eligibility Reference'!Print_Area</vt:lpstr>
      <vt:lpstr>'Fuel Prices &lt;HIDE&gt;'!Print_Area</vt:lpstr>
      <vt:lpstr>Inputs_AB1550!Print_Area</vt:lpstr>
      <vt:lpstr>'Project Info'!Print_Area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Steele</dc:creator>
  <cp:lastModifiedBy>Matthew</cp:lastModifiedBy>
  <cp:lastPrinted>2019-08-23T16:00:25Z</cp:lastPrinted>
  <dcterms:created xsi:type="dcterms:W3CDTF">2017-06-22T18:28:37Z</dcterms:created>
  <dcterms:modified xsi:type="dcterms:W3CDTF">2020-08-04T22:34:45Z</dcterms:modified>
</cp:coreProperties>
</file>