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lmmscd\DIV\Assignment\TACT\2019\"/>
    </mc:Choice>
  </mc:AlternateContent>
  <bookViews>
    <workbookView xWindow="0" yWindow="0" windowWidth="18390" windowHeight="7380"/>
  </bookViews>
  <sheets>
    <sheet name="Introduction" sheetId="23" r:id="rId1"/>
    <sheet name="Main" sheetId="1" r:id="rId2"/>
    <sheet name="Input" sheetId="2" r:id="rId3"/>
  </sheets>
  <definedNames>
    <definedName name="ComponentTab">Input!$A$22:$Q$33</definedName>
    <definedName name="EconTab">Input!$A$44:$Q$77</definedName>
    <definedName name="FixedTab">Input!$A$136:$B$145</definedName>
    <definedName name="FuelTab">Input!$A$80:$AK$84</definedName>
    <definedName name="H2LCFSTab">Input!$A$109:$AK$120</definedName>
    <definedName name="HydTab">Input!$A$87:$D$90</definedName>
    <definedName name="InfTab">Input!$A$123:$C$125</definedName>
    <definedName name="kWhTab">Input!$A$36:$AK$41</definedName>
    <definedName name="LCFSTab">Input!$A$101:$AK$106</definedName>
    <definedName name="MileTab">Input!$A$14:$U$14</definedName>
    <definedName name="Phase2Tab">Input!$A$17:$Q$19</definedName>
    <definedName name="ResTab">Input!$131:$133</definedName>
    <definedName name="TimeTab">Input!$A$128:$U$128</definedName>
    <definedName name="VehTab">Input!$A$2:$Q$11</definedName>
    <definedName name="Weight">"VLOOKUP($C$3,Input!$A$3:$C$8,2,FALSE)"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AU44" i="1" l="1"/>
  <c r="AU42" i="1" l="1"/>
  <c r="Y42" i="1"/>
  <c r="Y45" i="1" l="1"/>
  <c r="AU46" i="1"/>
  <c r="AU45" i="1"/>
  <c r="AU43" i="1"/>
  <c r="Y43" i="1"/>
  <c r="Q29" i="2"/>
  <c r="AU47" i="1" s="1"/>
  <c r="B29" i="2"/>
  <c r="C29" i="2" l="1"/>
  <c r="D29" i="2"/>
  <c r="K29" i="2"/>
  <c r="J29" i="2"/>
  <c r="I29" i="2"/>
  <c r="P29" i="2"/>
  <c r="H29" i="2"/>
  <c r="O29" i="2"/>
  <c r="G29" i="2"/>
  <c r="N29" i="2"/>
  <c r="F29" i="2"/>
  <c r="M29" i="2"/>
  <c r="E29" i="2"/>
  <c r="L29" i="2"/>
  <c r="E82" i="2"/>
  <c r="C42" i="1" l="1"/>
  <c r="B14" i="2"/>
  <c r="C14" i="2" l="1"/>
  <c r="E66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Q66" i="2" l="1"/>
  <c r="I66" i="2"/>
  <c r="K66" i="2"/>
  <c r="J66" i="2"/>
  <c r="P66" i="2"/>
  <c r="H66" i="2"/>
  <c r="O66" i="2"/>
  <c r="G66" i="2"/>
  <c r="N66" i="2"/>
  <c r="F66" i="2"/>
  <c r="M66" i="2"/>
  <c r="L66" i="2"/>
  <c r="D14" i="2"/>
  <c r="E54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E52" i="2"/>
  <c r="E51" i="2"/>
  <c r="Q52" i="2"/>
  <c r="P52" i="2"/>
  <c r="O52" i="2"/>
  <c r="N52" i="2"/>
  <c r="M52" i="2"/>
  <c r="L52" i="2"/>
  <c r="K52" i="2"/>
  <c r="J52" i="2"/>
  <c r="I52" i="2"/>
  <c r="H52" i="2"/>
  <c r="G52" i="2"/>
  <c r="F52" i="2"/>
  <c r="E48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M48" i="2" l="1"/>
  <c r="G48" i="2"/>
  <c r="F48" i="2"/>
  <c r="L48" i="2"/>
  <c r="O48" i="2"/>
  <c r="K48" i="2"/>
  <c r="N48" i="2"/>
  <c r="J48" i="2"/>
  <c r="Q48" i="2"/>
  <c r="I48" i="2"/>
  <c r="P48" i="2"/>
  <c r="H48" i="2"/>
  <c r="Q51" i="2"/>
  <c r="I51" i="2"/>
  <c r="K51" i="2"/>
  <c r="P51" i="2"/>
  <c r="H51" i="2"/>
  <c r="O51" i="2"/>
  <c r="G51" i="2"/>
  <c r="N51" i="2"/>
  <c r="F51" i="2"/>
  <c r="M51" i="2"/>
  <c r="J51" i="2"/>
  <c r="L51" i="2"/>
  <c r="M54" i="2"/>
  <c r="O54" i="2"/>
  <c r="N54" i="2"/>
  <c r="L54" i="2"/>
  <c r="G54" i="2"/>
  <c r="K54" i="2"/>
  <c r="J54" i="2"/>
  <c r="F54" i="2"/>
  <c r="Q54" i="2"/>
  <c r="I54" i="2"/>
  <c r="P54" i="2"/>
  <c r="H54" i="2"/>
  <c r="E14" i="2"/>
  <c r="C28" i="1"/>
  <c r="F105" i="2"/>
  <c r="G105" i="2"/>
  <c r="H105" i="2"/>
  <c r="I105" i="2"/>
  <c r="J105" i="2"/>
  <c r="K105" i="2"/>
  <c r="L105" i="2"/>
  <c r="M105" i="2"/>
  <c r="N105" i="2"/>
  <c r="O105" i="2"/>
  <c r="P105" i="2"/>
  <c r="Q105" i="2"/>
  <c r="E105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E106" i="2"/>
  <c r="F14" i="2" l="1"/>
  <c r="R110" i="2"/>
  <c r="S110" i="2" s="1"/>
  <c r="T110" i="2" s="1"/>
  <c r="U110" i="2" s="1"/>
  <c r="V110" i="2" s="1"/>
  <c r="W110" i="2" s="1"/>
  <c r="X110" i="2" s="1"/>
  <c r="Y110" i="2" s="1"/>
  <c r="Z110" i="2" s="1"/>
  <c r="AA110" i="2" s="1"/>
  <c r="AB110" i="2" s="1"/>
  <c r="AC110" i="2" s="1"/>
  <c r="AD110" i="2" s="1"/>
  <c r="AE110" i="2" s="1"/>
  <c r="AF110" i="2" s="1"/>
  <c r="AG110" i="2" s="1"/>
  <c r="AH110" i="2" s="1"/>
  <c r="AI110" i="2" s="1"/>
  <c r="AJ110" i="2" s="1"/>
  <c r="AK110" i="2" s="1"/>
  <c r="R111" i="2"/>
  <c r="S111" i="2" s="1"/>
  <c r="T111" i="2" s="1"/>
  <c r="U111" i="2" s="1"/>
  <c r="V111" i="2" s="1"/>
  <c r="W111" i="2" s="1"/>
  <c r="X111" i="2" s="1"/>
  <c r="Y111" i="2" s="1"/>
  <c r="Z111" i="2" s="1"/>
  <c r="AA111" i="2" s="1"/>
  <c r="AB111" i="2" s="1"/>
  <c r="AC111" i="2" s="1"/>
  <c r="AD111" i="2" s="1"/>
  <c r="AE111" i="2" s="1"/>
  <c r="AF111" i="2" s="1"/>
  <c r="AG111" i="2" s="1"/>
  <c r="AH111" i="2" s="1"/>
  <c r="AI111" i="2" s="1"/>
  <c r="AJ111" i="2" s="1"/>
  <c r="AK111" i="2" s="1"/>
  <c r="R112" i="2"/>
  <c r="R113" i="2"/>
  <c r="S113" i="2" s="1"/>
  <c r="T113" i="2" s="1"/>
  <c r="U113" i="2" s="1"/>
  <c r="V113" i="2" s="1"/>
  <c r="W113" i="2" s="1"/>
  <c r="X113" i="2" s="1"/>
  <c r="Y113" i="2" s="1"/>
  <c r="Z113" i="2" s="1"/>
  <c r="AA113" i="2" s="1"/>
  <c r="AB113" i="2" s="1"/>
  <c r="AC113" i="2" s="1"/>
  <c r="AD113" i="2" s="1"/>
  <c r="AE113" i="2" s="1"/>
  <c r="AF113" i="2" s="1"/>
  <c r="AG113" i="2" s="1"/>
  <c r="AH113" i="2" s="1"/>
  <c r="AI113" i="2" s="1"/>
  <c r="AJ113" i="2" s="1"/>
  <c r="AK113" i="2" s="1"/>
  <c r="R114" i="2"/>
  <c r="S114" i="2" s="1"/>
  <c r="T114" i="2" s="1"/>
  <c r="U114" i="2" s="1"/>
  <c r="V114" i="2" s="1"/>
  <c r="W114" i="2" s="1"/>
  <c r="X114" i="2" s="1"/>
  <c r="Y114" i="2" s="1"/>
  <c r="Z114" i="2" s="1"/>
  <c r="AA114" i="2" s="1"/>
  <c r="AB114" i="2" s="1"/>
  <c r="AC114" i="2" s="1"/>
  <c r="AD114" i="2" s="1"/>
  <c r="AE114" i="2" s="1"/>
  <c r="AF114" i="2" s="1"/>
  <c r="AG114" i="2" s="1"/>
  <c r="AH114" i="2" s="1"/>
  <c r="AI114" i="2" s="1"/>
  <c r="AJ114" i="2" s="1"/>
  <c r="AK114" i="2" s="1"/>
  <c r="R115" i="2"/>
  <c r="S115" i="2" s="1"/>
  <c r="T115" i="2" s="1"/>
  <c r="U115" i="2" s="1"/>
  <c r="V115" i="2" s="1"/>
  <c r="W115" i="2" s="1"/>
  <c r="X115" i="2" s="1"/>
  <c r="Y115" i="2" s="1"/>
  <c r="Z115" i="2" s="1"/>
  <c r="AA115" i="2" s="1"/>
  <c r="AB115" i="2" s="1"/>
  <c r="AC115" i="2" s="1"/>
  <c r="AD115" i="2" s="1"/>
  <c r="AE115" i="2" s="1"/>
  <c r="AF115" i="2" s="1"/>
  <c r="AG115" i="2" s="1"/>
  <c r="AH115" i="2" s="1"/>
  <c r="AI115" i="2" s="1"/>
  <c r="AJ115" i="2" s="1"/>
  <c r="AK115" i="2" s="1"/>
  <c r="R116" i="2"/>
  <c r="S116" i="2" s="1"/>
  <c r="T116" i="2" s="1"/>
  <c r="U116" i="2" s="1"/>
  <c r="V116" i="2" s="1"/>
  <c r="W116" i="2" s="1"/>
  <c r="X116" i="2" s="1"/>
  <c r="Y116" i="2" s="1"/>
  <c r="Z116" i="2" s="1"/>
  <c r="AA116" i="2" s="1"/>
  <c r="AB116" i="2" s="1"/>
  <c r="AC116" i="2" s="1"/>
  <c r="AD116" i="2" s="1"/>
  <c r="AE116" i="2" s="1"/>
  <c r="AF116" i="2" s="1"/>
  <c r="AG116" i="2" s="1"/>
  <c r="AH116" i="2" s="1"/>
  <c r="AI116" i="2" s="1"/>
  <c r="AJ116" i="2" s="1"/>
  <c r="AK116" i="2" s="1"/>
  <c r="R117" i="2"/>
  <c r="S117" i="2" s="1"/>
  <c r="T117" i="2" s="1"/>
  <c r="U117" i="2" s="1"/>
  <c r="V117" i="2" s="1"/>
  <c r="W117" i="2" s="1"/>
  <c r="X117" i="2" s="1"/>
  <c r="Y117" i="2" s="1"/>
  <c r="Z117" i="2" s="1"/>
  <c r="AA117" i="2" s="1"/>
  <c r="AB117" i="2" s="1"/>
  <c r="AC117" i="2" s="1"/>
  <c r="AD117" i="2" s="1"/>
  <c r="AE117" i="2" s="1"/>
  <c r="AF117" i="2" s="1"/>
  <c r="AG117" i="2" s="1"/>
  <c r="AH117" i="2" s="1"/>
  <c r="AI117" i="2" s="1"/>
  <c r="AJ117" i="2" s="1"/>
  <c r="AK117" i="2" s="1"/>
  <c r="R118" i="2"/>
  <c r="R106" i="2" s="1"/>
  <c r="R119" i="2"/>
  <c r="S119" i="2" s="1"/>
  <c r="T119" i="2" s="1"/>
  <c r="U119" i="2" s="1"/>
  <c r="V119" i="2" s="1"/>
  <c r="W119" i="2" s="1"/>
  <c r="X119" i="2" s="1"/>
  <c r="Y119" i="2" s="1"/>
  <c r="Z119" i="2" s="1"/>
  <c r="AA119" i="2" s="1"/>
  <c r="AB119" i="2" s="1"/>
  <c r="AC119" i="2" s="1"/>
  <c r="AD119" i="2" s="1"/>
  <c r="AE119" i="2" s="1"/>
  <c r="AF119" i="2" s="1"/>
  <c r="AG119" i="2" s="1"/>
  <c r="AH119" i="2" s="1"/>
  <c r="AI119" i="2" s="1"/>
  <c r="AJ119" i="2" s="1"/>
  <c r="AK119" i="2" s="1"/>
  <c r="R120" i="2"/>
  <c r="S120" i="2" s="1"/>
  <c r="T120" i="2" s="1"/>
  <c r="U120" i="2" s="1"/>
  <c r="V120" i="2" s="1"/>
  <c r="W120" i="2" s="1"/>
  <c r="X120" i="2" s="1"/>
  <c r="Y120" i="2" s="1"/>
  <c r="Z120" i="2" s="1"/>
  <c r="AA120" i="2" s="1"/>
  <c r="AB120" i="2" s="1"/>
  <c r="AC120" i="2" s="1"/>
  <c r="AD120" i="2" s="1"/>
  <c r="AE120" i="2" s="1"/>
  <c r="AF120" i="2" s="1"/>
  <c r="AG120" i="2" s="1"/>
  <c r="AH120" i="2" s="1"/>
  <c r="AI120" i="2" s="1"/>
  <c r="AJ120" i="2" s="1"/>
  <c r="AK120" i="2" s="1"/>
  <c r="R109" i="2"/>
  <c r="S109" i="2" s="1"/>
  <c r="T109" i="2" s="1"/>
  <c r="U109" i="2" s="1"/>
  <c r="V109" i="2" s="1"/>
  <c r="W109" i="2" s="1"/>
  <c r="X109" i="2" s="1"/>
  <c r="Y109" i="2" s="1"/>
  <c r="Z109" i="2" s="1"/>
  <c r="AA109" i="2" s="1"/>
  <c r="AB109" i="2" s="1"/>
  <c r="AC109" i="2" s="1"/>
  <c r="AD109" i="2" s="1"/>
  <c r="AE109" i="2" s="1"/>
  <c r="AF109" i="2" s="1"/>
  <c r="AG109" i="2" s="1"/>
  <c r="AH109" i="2" s="1"/>
  <c r="AI109" i="2" s="1"/>
  <c r="AJ109" i="2" s="1"/>
  <c r="AK109" i="2" s="1"/>
  <c r="G14" i="2" l="1"/>
  <c r="R105" i="2"/>
  <c r="S118" i="2"/>
  <c r="S112" i="2"/>
  <c r="H14" i="2" l="1"/>
  <c r="T112" i="2"/>
  <c r="S105" i="2"/>
  <c r="T118" i="2"/>
  <c r="S10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C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I14" i="2" l="1"/>
  <c r="U118" i="2"/>
  <c r="T106" i="2"/>
  <c r="U112" i="2"/>
  <c r="T105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AK84" i="2"/>
  <c r="Q84" i="2"/>
  <c r="E84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E69" i="2"/>
  <c r="M69" i="2" l="1"/>
  <c r="N69" i="2"/>
  <c r="F69" i="2"/>
  <c r="L69" i="2"/>
  <c r="O69" i="2"/>
  <c r="G69" i="2"/>
  <c r="K69" i="2"/>
  <c r="J69" i="2"/>
  <c r="Q69" i="2"/>
  <c r="I69" i="2"/>
  <c r="P69" i="2"/>
  <c r="H69" i="2"/>
  <c r="J14" i="2"/>
  <c r="V112" i="2"/>
  <c r="U105" i="2"/>
  <c r="V118" i="2"/>
  <c r="U106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E72" i="2"/>
  <c r="Q72" i="2" l="1"/>
  <c r="I72" i="2"/>
  <c r="K72" i="2"/>
  <c r="J72" i="2"/>
  <c r="P72" i="2"/>
  <c r="H72" i="2"/>
  <c r="O72" i="2"/>
  <c r="G72" i="2"/>
  <c r="N72" i="2"/>
  <c r="F72" i="2"/>
  <c r="M72" i="2"/>
  <c r="L72" i="2"/>
  <c r="K14" i="2"/>
  <c r="W112" i="2"/>
  <c r="V105" i="2"/>
  <c r="W118" i="2"/>
  <c r="V106" i="2"/>
  <c r="L14" i="2" l="1"/>
  <c r="M14" i="2" s="1"/>
  <c r="N14" i="2" s="1"/>
  <c r="O14" i="2" s="1"/>
  <c r="P14" i="2" s="1"/>
  <c r="Q14" i="2" s="1"/>
  <c r="R14" i="2" s="1"/>
  <c r="S14" i="2" s="1"/>
  <c r="T14" i="2" s="1"/>
  <c r="U14" i="2" s="1"/>
  <c r="X118" i="2"/>
  <c r="W106" i="2"/>
  <c r="X112" i="2"/>
  <c r="W105" i="2"/>
  <c r="C30" i="1"/>
  <c r="AU29" i="1"/>
  <c r="Y29" i="1"/>
  <c r="C29" i="1"/>
  <c r="Y112" i="2" l="1"/>
  <c r="X105" i="2"/>
  <c r="Y118" i="2"/>
  <c r="X106" i="2"/>
  <c r="Y44" i="1"/>
  <c r="Z118" i="2" l="1"/>
  <c r="Y106" i="2"/>
  <c r="Z112" i="2"/>
  <c r="Y105" i="2"/>
  <c r="AA112" i="2" l="1"/>
  <c r="Z105" i="2"/>
  <c r="AA118" i="2"/>
  <c r="Z106" i="2"/>
  <c r="AB118" i="2" l="1"/>
  <c r="AA106" i="2"/>
  <c r="AB112" i="2"/>
  <c r="AA105" i="2"/>
  <c r="AC112" i="2" l="1"/>
  <c r="AB105" i="2"/>
  <c r="AC118" i="2"/>
  <c r="AB106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R84" i="2"/>
  <c r="G84" i="2"/>
  <c r="H84" i="2"/>
  <c r="I84" i="2"/>
  <c r="J84" i="2"/>
  <c r="K84" i="2"/>
  <c r="L84" i="2"/>
  <c r="M84" i="2"/>
  <c r="N84" i="2"/>
  <c r="O84" i="2"/>
  <c r="P84" i="2"/>
  <c r="F84" i="2"/>
  <c r="AD118" i="2" l="1"/>
  <c r="AC106" i="2"/>
  <c r="AD112" i="2"/>
  <c r="AC105" i="2"/>
  <c r="AU30" i="1"/>
  <c r="AE118" i="2" l="1"/>
  <c r="AD106" i="2"/>
  <c r="AE112" i="2"/>
  <c r="AD105" i="2"/>
  <c r="B17" i="2"/>
  <c r="D17" i="2"/>
  <c r="B18" i="2"/>
  <c r="D18" i="2"/>
  <c r="B19" i="2"/>
  <c r="D19" i="2"/>
  <c r="AF112" i="2" l="1"/>
  <c r="AE105" i="2"/>
  <c r="AF118" i="2"/>
  <c r="AE106" i="2"/>
  <c r="AG118" i="2" l="1"/>
  <c r="AF106" i="2"/>
  <c r="AG112" i="2"/>
  <c r="AF105" i="2"/>
  <c r="AU39" i="1"/>
  <c r="AH112" i="2" l="1"/>
  <c r="AG105" i="2"/>
  <c r="AH118" i="2"/>
  <c r="AG106" i="2"/>
  <c r="AI118" i="2" l="1"/>
  <c r="AH106" i="2"/>
  <c r="AI112" i="2"/>
  <c r="AH105" i="2"/>
  <c r="AU6" i="1"/>
  <c r="AJ112" i="2" l="1"/>
  <c r="AI105" i="2"/>
  <c r="AJ118" i="2"/>
  <c r="AI106" i="2"/>
  <c r="P40" i="2"/>
  <c r="O40" i="2" s="1"/>
  <c r="N40" i="2" s="1"/>
  <c r="M40" i="2" s="1"/>
  <c r="L40" i="2" s="1"/>
  <c r="K40" i="2" s="1"/>
  <c r="J40" i="2" s="1"/>
  <c r="I40" i="2" s="1"/>
  <c r="H40" i="2" s="1"/>
  <c r="G40" i="2" s="1"/>
  <c r="F40" i="2" s="1"/>
  <c r="E40" i="2" s="1"/>
  <c r="AK118" i="2" l="1"/>
  <c r="AK106" i="2" s="1"/>
  <c r="AJ106" i="2"/>
  <c r="AK112" i="2"/>
  <c r="AK105" i="2" s="1"/>
  <c r="AJ105" i="2"/>
  <c r="D40" i="2"/>
  <c r="C40" i="2" s="1"/>
  <c r="R104" i="2" l="1"/>
  <c r="S104" i="2" s="1"/>
  <c r="T104" i="2" s="1"/>
  <c r="U104" i="2" s="1"/>
  <c r="V104" i="2" s="1"/>
  <c r="W104" i="2" s="1"/>
  <c r="X104" i="2" s="1"/>
  <c r="Y104" i="2" s="1"/>
  <c r="Z104" i="2" s="1"/>
  <c r="AA104" i="2" s="1"/>
  <c r="AB104" i="2" s="1"/>
  <c r="AC104" i="2" s="1"/>
  <c r="AD104" i="2" s="1"/>
  <c r="AE104" i="2" s="1"/>
  <c r="AF104" i="2" s="1"/>
  <c r="AG104" i="2" s="1"/>
  <c r="AH104" i="2" s="1"/>
  <c r="AI104" i="2" s="1"/>
  <c r="AJ104" i="2" s="1"/>
  <c r="AK104" i="2" s="1"/>
  <c r="R103" i="2"/>
  <c r="S103" i="2" s="1"/>
  <c r="T103" i="2" s="1"/>
  <c r="U103" i="2" s="1"/>
  <c r="V103" i="2" s="1"/>
  <c r="W103" i="2" s="1"/>
  <c r="X103" i="2" s="1"/>
  <c r="Y103" i="2" s="1"/>
  <c r="Z103" i="2" s="1"/>
  <c r="AA103" i="2" s="1"/>
  <c r="AB103" i="2" s="1"/>
  <c r="AC103" i="2" s="1"/>
  <c r="AD103" i="2" s="1"/>
  <c r="AE103" i="2" s="1"/>
  <c r="AF103" i="2" s="1"/>
  <c r="AG103" i="2" s="1"/>
  <c r="AH103" i="2" s="1"/>
  <c r="AI103" i="2" s="1"/>
  <c r="AJ103" i="2" s="1"/>
  <c r="AK103" i="2" s="1"/>
  <c r="R102" i="2"/>
  <c r="S102" i="2" s="1"/>
  <c r="T102" i="2" s="1"/>
  <c r="U102" i="2" s="1"/>
  <c r="V102" i="2" s="1"/>
  <c r="W102" i="2" s="1"/>
  <c r="X102" i="2" s="1"/>
  <c r="Y102" i="2" s="1"/>
  <c r="Z102" i="2" s="1"/>
  <c r="AA102" i="2" s="1"/>
  <c r="AB102" i="2" s="1"/>
  <c r="AC102" i="2" s="1"/>
  <c r="AD102" i="2" s="1"/>
  <c r="AE102" i="2" s="1"/>
  <c r="AF102" i="2" s="1"/>
  <c r="AG102" i="2" s="1"/>
  <c r="AH102" i="2" s="1"/>
  <c r="AI102" i="2" s="1"/>
  <c r="AJ102" i="2" s="1"/>
  <c r="AK102" i="2" s="1"/>
  <c r="R101" i="2"/>
  <c r="F82" i="2"/>
  <c r="G82" i="2" s="1"/>
  <c r="H82" i="2" s="1"/>
  <c r="I82" i="2" s="1"/>
  <c r="J82" i="2" s="1"/>
  <c r="K82" i="2" s="1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E45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E58" i="2"/>
  <c r="N63" i="2"/>
  <c r="M63" i="2"/>
  <c r="L63" i="2"/>
  <c r="K63" i="2"/>
  <c r="J63" i="2"/>
  <c r="I63" i="2"/>
  <c r="H63" i="2"/>
  <c r="G63" i="2"/>
  <c r="F63" i="2"/>
  <c r="E63" i="2"/>
  <c r="E62" i="2"/>
  <c r="O60" i="2"/>
  <c r="O63" i="2" s="1"/>
  <c r="C39" i="2"/>
  <c r="D39" i="2" s="1"/>
  <c r="E39" i="2" s="1"/>
  <c r="Q19" i="2"/>
  <c r="P19" i="2"/>
  <c r="O19" i="2"/>
  <c r="N19" i="2"/>
  <c r="M19" i="2"/>
  <c r="L19" i="2"/>
  <c r="K19" i="2"/>
  <c r="J19" i="2"/>
  <c r="I19" i="2"/>
  <c r="H19" i="2"/>
  <c r="G19" i="2"/>
  <c r="F19" i="2"/>
  <c r="Q18" i="2"/>
  <c r="P18" i="2"/>
  <c r="O18" i="2"/>
  <c r="N18" i="2"/>
  <c r="M18" i="2"/>
  <c r="L18" i="2"/>
  <c r="K18" i="2"/>
  <c r="J18" i="2"/>
  <c r="I18" i="2"/>
  <c r="H18" i="2"/>
  <c r="G18" i="2"/>
  <c r="F18" i="2"/>
  <c r="Q17" i="2"/>
  <c r="P17" i="2"/>
  <c r="O17" i="2"/>
  <c r="N17" i="2"/>
  <c r="M17" i="2"/>
  <c r="L17" i="2"/>
  <c r="K17" i="2"/>
  <c r="J17" i="2"/>
  <c r="I17" i="2"/>
  <c r="H17" i="2"/>
  <c r="G17" i="2"/>
  <c r="F17" i="2"/>
  <c r="AU35" i="1"/>
  <c r="Y35" i="1"/>
  <c r="AU27" i="1"/>
  <c r="AU37" i="1" s="1"/>
  <c r="Y27" i="1"/>
  <c r="C27" i="1"/>
  <c r="C24" i="1"/>
  <c r="B24" i="1"/>
  <c r="AU23" i="1"/>
  <c r="AT23" i="1"/>
  <c r="C23" i="1"/>
  <c r="B23" i="1"/>
  <c r="AV13" i="1"/>
  <c r="Z13" i="1"/>
  <c r="D13" i="1"/>
  <c r="D17" i="1" s="1"/>
  <c r="Z18" i="1" l="1"/>
  <c r="Z17" i="1"/>
  <c r="Z24" i="1"/>
  <c r="AV22" i="1"/>
  <c r="AV17" i="1"/>
  <c r="AV20" i="1"/>
  <c r="D22" i="1"/>
  <c r="D20" i="1"/>
  <c r="D21" i="1"/>
  <c r="Z22" i="1"/>
  <c r="M62" i="2"/>
  <c r="G62" i="2"/>
  <c r="N62" i="2"/>
  <c r="F62" i="2"/>
  <c r="L62" i="2"/>
  <c r="O62" i="2"/>
  <c r="K62" i="2"/>
  <c r="J62" i="2"/>
  <c r="Q62" i="2"/>
  <c r="I62" i="2"/>
  <c r="P62" i="2"/>
  <c r="H62" i="2"/>
  <c r="Q45" i="2"/>
  <c r="Z21" i="1" s="1"/>
  <c r="I45" i="2"/>
  <c r="P45" i="2"/>
  <c r="H45" i="2"/>
  <c r="K45" i="2"/>
  <c r="O45" i="2"/>
  <c r="G45" i="2"/>
  <c r="N45" i="2"/>
  <c r="F45" i="2"/>
  <c r="J45" i="2"/>
  <c r="M45" i="2"/>
  <c r="L45" i="2"/>
  <c r="K58" i="2"/>
  <c r="I58" i="2"/>
  <c r="Q58" i="2"/>
  <c r="L58" i="2"/>
  <c r="M58" i="2"/>
  <c r="F58" i="2"/>
  <c r="N58" i="2"/>
  <c r="G58" i="2"/>
  <c r="O58" i="2"/>
  <c r="H58" i="2"/>
  <c r="P58" i="2"/>
  <c r="J58" i="2"/>
  <c r="AU28" i="1"/>
  <c r="S101" i="2"/>
  <c r="AV21" i="1"/>
  <c r="C43" i="1"/>
  <c r="AU33" i="1"/>
  <c r="AU41" i="1" s="1"/>
  <c r="Y33" i="1"/>
  <c r="Y41" i="1" s="1"/>
  <c r="Z23" i="1"/>
  <c r="L82" i="2"/>
  <c r="Y31" i="1"/>
  <c r="AV18" i="1"/>
  <c r="C38" i="1"/>
  <c r="P60" i="2"/>
  <c r="P63" i="2" s="1"/>
  <c r="F39" i="2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AW13" i="1"/>
  <c r="AA13" i="1"/>
  <c r="D18" i="1"/>
  <c r="E13" i="1"/>
  <c r="E17" i="1" s="1"/>
  <c r="AV24" i="1"/>
  <c r="Y28" i="1" l="1"/>
  <c r="AW22" i="1"/>
  <c r="AW17" i="1"/>
  <c r="AW20" i="1"/>
  <c r="AA21" i="1"/>
  <c r="AA17" i="1"/>
  <c r="AA24" i="1"/>
  <c r="AW21" i="1"/>
  <c r="E20" i="1"/>
  <c r="E22" i="1"/>
  <c r="E21" i="1"/>
  <c r="AA22" i="1"/>
  <c r="Q60" i="2"/>
  <c r="Q63" i="2" s="1"/>
  <c r="T101" i="2"/>
  <c r="Z14" i="1"/>
  <c r="D14" i="1"/>
  <c r="AW18" i="1"/>
  <c r="AA18" i="1"/>
  <c r="AA23" i="1"/>
  <c r="M82" i="2"/>
  <c r="N82" i="2" s="1"/>
  <c r="O82" i="2" s="1"/>
  <c r="P82" i="2" s="1"/>
  <c r="Q82" i="2" s="1"/>
  <c r="D19" i="1"/>
  <c r="D15" i="1"/>
  <c r="D16" i="1"/>
  <c r="AX13" i="1"/>
  <c r="E14" i="1"/>
  <c r="E16" i="1"/>
  <c r="AB13" i="1"/>
  <c r="AW15" i="1"/>
  <c r="AW24" i="1"/>
  <c r="AA15" i="1"/>
  <c r="E19" i="1"/>
  <c r="E18" i="1"/>
  <c r="E15" i="1"/>
  <c r="F13" i="1"/>
  <c r="F17" i="1" s="1"/>
  <c r="AX17" i="1" l="1"/>
  <c r="AX20" i="1"/>
  <c r="AB17" i="1"/>
  <c r="AB24" i="1"/>
  <c r="AX22" i="1"/>
  <c r="AX21" i="1"/>
  <c r="F22" i="1"/>
  <c r="F20" i="1"/>
  <c r="F21" i="1"/>
  <c r="AB22" i="1"/>
  <c r="AB21" i="1"/>
  <c r="Z20" i="1"/>
  <c r="U101" i="2"/>
  <c r="AB18" i="1"/>
  <c r="AB23" i="1"/>
  <c r="AX18" i="1"/>
  <c r="R82" i="2"/>
  <c r="AA20" i="1" s="1"/>
  <c r="AA14" i="1"/>
  <c r="D25" i="1"/>
  <c r="E25" i="1" s="1"/>
  <c r="AX15" i="1"/>
  <c r="AX24" i="1"/>
  <c r="AY13" i="1"/>
  <c r="AC13" i="1"/>
  <c r="F18" i="1"/>
  <c r="F16" i="1"/>
  <c r="AB15" i="1"/>
  <c r="F15" i="1"/>
  <c r="F19" i="1"/>
  <c r="F14" i="1"/>
  <c r="G13" i="1"/>
  <c r="AY17" i="1" l="1"/>
  <c r="AY20" i="1"/>
  <c r="G21" i="1"/>
  <c r="G17" i="1"/>
  <c r="AC17" i="1"/>
  <c r="AC24" i="1"/>
  <c r="AV16" i="1"/>
  <c r="AV14" i="1"/>
  <c r="AY22" i="1"/>
  <c r="AY21" i="1"/>
  <c r="G20" i="1"/>
  <c r="G22" i="1"/>
  <c r="AC22" i="1"/>
  <c r="AC21" i="1"/>
  <c r="V101" i="2"/>
  <c r="AC18" i="1"/>
  <c r="AC23" i="1"/>
  <c r="S82" i="2"/>
  <c r="AB20" i="1" s="1"/>
  <c r="AB16" i="1"/>
  <c r="Z19" i="1"/>
  <c r="AB14" i="1"/>
  <c r="AB19" i="1"/>
  <c r="Z15" i="1"/>
  <c r="Z16" i="1"/>
  <c r="AA16" i="1"/>
  <c r="AA19" i="1"/>
  <c r="AY18" i="1"/>
  <c r="F25" i="1"/>
  <c r="AW16" i="1"/>
  <c r="AX14" i="1"/>
  <c r="AV15" i="1"/>
  <c r="AX16" i="1"/>
  <c r="AX19" i="1"/>
  <c r="AW14" i="1"/>
  <c r="AV19" i="1"/>
  <c r="AW19" i="1"/>
  <c r="AY24" i="1"/>
  <c r="AY15" i="1"/>
  <c r="AY14" i="1"/>
  <c r="AY19" i="1"/>
  <c r="AZ13" i="1"/>
  <c r="AY16" i="1"/>
  <c r="AC15" i="1"/>
  <c r="AC14" i="1"/>
  <c r="AD13" i="1"/>
  <c r="AC19" i="1"/>
  <c r="G18" i="1"/>
  <c r="G16" i="1"/>
  <c r="AC16" i="1"/>
  <c r="G14" i="1"/>
  <c r="G15" i="1"/>
  <c r="G19" i="1"/>
  <c r="H13" i="1"/>
  <c r="H17" i="1" s="1"/>
  <c r="AD17" i="1" l="1"/>
  <c r="AD24" i="1"/>
  <c r="AZ17" i="1"/>
  <c r="AZ20" i="1"/>
  <c r="AZ22" i="1"/>
  <c r="AZ21" i="1"/>
  <c r="H20" i="1"/>
  <c r="H22" i="1"/>
  <c r="AD22" i="1"/>
  <c r="AD21" i="1"/>
  <c r="H21" i="1"/>
  <c r="W101" i="2"/>
  <c r="AD18" i="1"/>
  <c r="AD23" i="1"/>
  <c r="T82" i="2"/>
  <c r="AC20" i="1" s="1"/>
  <c r="Z25" i="1"/>
  <c r="AA25" i="1" s="1"/>
  <c r="AZ18" i="1"/>
  <c r="G25" i="1"/>
  <c r="AZ16" i="1"/>
  <c r="BA13" i="1"/>
  <c r="AZ19" i="1"/>
  <c r="AZ14" i="1"/>
  <c r="AZ15" i="1"/>
  <c r="AZ24" i="1"/>
  <c r="AE13" i="1"/>
  <c r="AD19" i="1"/>
  <c r="AD16" i="1"/>
  <c r="AD14" i="1"/>
  <c r="AD15" i="1"/>
  <c r="H18" i="1"/>
  <c r="H16" i="1"/>
  <c r="H19" i="1"/>
  <c r="H15" i="1"/>
  <c r="I13" i="1"/>
  <c r="I17" i="1" s="1"/>
  <c r="H14" i="1"/>
  <c r="BA17" i="1" l="1"/>
  <c r="BA20" i="1"/>
  <c r="AE17" i="1"/>
  <c r="AE24" i="1"/>
  <c r="BA22" i="1"/>
  <c r="BA21" i="1"/>
  <c r="I20" i="1"/>
  <c r="I22" i="1"/>
  <c r="I21" i="1"/>
  <c r="AE22" i="1"/>
  <c r="AE21" i="1"/>
  <c r="X101" i="2"/>
  <c r="AE18" i="1"/>
  <c r="AE23" i="1"/>
  <c r="AB25" i="1"/>
  <c r="U82" i="2"/>
  <c r="AD20" i="1" s="1"/>
  <c r="BA18" i="1"/>
  <c r="H25" i="1"/>
  <c r="AE14" i="1"/>
  <c r="BA14" i="1"/>
  <c r="BA15" i="1"/>
  <c r="BA24" i="1"/>
  <c r="BB13" i="1"/>
  <c r="BA16" i="1"/>
  <c r="BA19" i="1"/>
  <c r="AE15" i="1"/>
  <c r="AE16" i="1"/>
  <c r="AF13" i="1"/>
  <c r="AE19" i="1"/>
  <c r="AU31" i="1"/>
  <c r="I18" i="1"/>
  <c r="I16" i="1"/>
  <c r="I15" i="1"/>
  <c r="I14" i="1"/>
  <c r="I19" i="1"/>
  <c r="J13" i="1"/>
  <c r="J17" i="1" s="1"/>
  <c r="AF17" i="1" l="1"/>
  <c r="AF24" i="1"/>
  <c r="BB17" i="1"/>
  <c r="BB20" i="1"/>
  <c r="BB22" i="1"/>
  <c r="BB21" i="1"/>
  <c r="J20" i="1"/>
  <c r="J22" i="1"/>
  <c r="AF22" i="1"/>
  <c r="AF21" i="1"/>
  <c r="J21" i="1"/>
  <c r="Y101" i="2"/>
  <c r="BB18" i="1"/>
  <c r="AF18" i="1"/>
  <c r="AF23" i="1"/>
  <c r="AC25" i="1"/>
  <c r="V82" i="2"/>
  <c r="AE20" i="1" s="1"/>
  <c r="BB16" i="1"/>
  <c r="I25" i="1"/>
  <c r="AF16" i="1"/>
  <c r="BB24" i="1"/>
  <c r="BC13" i="1"/>
  <c r="BB19" i="1"/>
  <c r="BB14" i="1"/>
  <c r="BB15" i="1"/>
  <c r="AG13" i="1"/>
  <c r="AF15" i="1"/>
  <c r="AF14" i="1"/>
  <c r="AF19" i="1"/>
  <c r="J18" i="1"/>
  <c r="J16" i="1"/>
  <c r="J14" i="1"/>
  <c r="J15" i="1"/>
  <c r="K13" i="1"/>
  <c r="K17" i="1" s="1"/>
  <c r="J19" i="1"/>
  <c r="BC20" i="1" l="1"/>
  <c r="BC17" i="1"/>
  <c r="AG17" i="1"/>
  <c r="AG24" i="1"/>
  <c r="BC22" i="1"/>
  <c r="BC21" i="1"/>
  <c r="K22" i="1"/>
  <c r="K20" i="1"/>
  <c r="AG22" i="1"/>
  <c r="AG21" i="1"/>
  <c r="K21" i="1"/>
  <c r="Z101" i="2"/>
  <c r="AG18" i="1"/>
  <c r="AG23" i="1"/>
  <c r="BC18" i="1"/>
  <c r="AD25" i="1"/>
  <c r="W82" i="2"/>
  <c r="AF20" i="1" s="1"/>
  <c r="BC15" i="1"/>
  <c r="J25" i="1"/>
  <c r="AH13" i="1"/>
  <c r="AG14" i="1"/>
  <c r="BC14" i="1"/>
  <c r="AG19" i="1"/>
  <c r="AV25" i="1"/>
  <c r="AG15" i="1"/>
  <c r="BC24" i="1"/>
  <c r="BC19" i="1"/>
  <c r="BD13" i="1"/>
  <c r="BC16" i="1"/>
  <c r="AG16" i="1"/>
  <c r="K18" i="1"/>
  <c r="K16" i="1"/>
  <c r="K15" i="1"/>
  <c r="K19" i="1"/>
  <c r="L13" i="1"/>
  <c r="L17" i="1" s="1"/>
  <c r="K14" i="1"/>
  <c r="BD17" i="1" l="1"/>
  <c r="BD20" i="1"/>
  <c r="AH17" i="1"/>
  <c r="AH24" i="1"/>
  <c r="BD22" i="1"/>
  <c r="BD21" i="1"/>
  <c r="AH22" i="1"/>
  <c r="AH21" i="1"/>
  <c r="L22" i="1"/>
  <c r="L20" i="1"/>
  <c r="L21" i="1"/>
  <c r="AA101" i="2"/>
  <c r="AB101" i="2" s="1"/>
  <c r="AC101" i="2" s="1"/>
  <c r="AD101" i="2" s="1"/>
  <c r="AE101" i="2" s="1"/>
  <c r="AF101" i="2" s="1"/>
  <c r="AG101" i="2" s="1"/>
  <c r="AH101" i="2" s="1"/>
  <c r="AI101" i="2" s="1"/>
  <c r="AJ101" i="2" s="1"/>
  <c r="AK101" i="2" s="1"/>
  <c r="AH16" i="1"/>
  <c r="AH23" i="1"/>
  <c r="BD18" i="1"/>
  <c r="AE25" i="1"/>
  <c r="X82" i="2"/>
  <c r="AG20" i="1" s="1"/>
  <c r="AH15" i="1"/>
  <c r="AH14" i="1"/>
  <c r="AI13" i="1"/>
  <c r="K25" i="1"/>
  <c r="BE13" i="1"/>
  <c r="BD14" i="1"/>
  <c r="BD15" i="1"/>
  <c r="AH18" i="1"/>
  <c r="AW25" i="1"/>
  <c r="AH19" i="1"/>
  <c r="BD19" i="1"/>
  <c r="BD16" i="1"/>
  <c r="BD24" i="1"/>
  <c r="L18" i="1"/>
  <c r="L16" i="1"/>
  <c r="L14" i="1"/>
  <c r="L19" i="1"/>
  <c r="L15" i="1"/>
  <c r="M13" i="1"/>
  <c r="M17" i="1" s="1"/>
  <c r="BE17" i="1" l="1"/>
  <c r="BE20" i="1"/>
  <c r="AI17" i="1"/>
  <c r="AI24" i="1"/>
  <c r="M20" i="1"/>
  <c r="M22" i="1"/>
  <c r="AI22" i="1"/>
  <c r="AI21" i="1"/>
  <c r="BE22" i="1"/>
  <c r="BE21" i="1"/>
  <c r="M21" i="1"/>
  <c r="AI18" i="1"/>
  <c r="AI23" i="1"/>
  <c r="AI14" i="1"/>
  <c r="AI15" i="1"/>
  <c r="AI16" i="1"/>
  <c r="AI19" i="1"/>
  <c r="AF25" i="1"/>
  <c r="Y82" i="2"/>
  <c r="AH20" i="1" s="1"/>
  <c r="BF13" i="1"/>
  <c r="AX25" i="1"/>
  <c r="BE24" i="1"/>
  <c r="BE18" i="1"/>
  <c r="AJ13" i="1"/>
  <c r="BE14" i="1"/>
  <c r="BE15" i="1"/>
  <c r="L25" i="1"/>
  <c r="BE16" i="1"/>
  <c r="BE19" i="1"/>
  <c r="M18" i="1"/>
  <c r="M16" i="1"/>
  <c r="M19" i="1"/>
  <c r="M15" i="1"/>
  <c r="N13" i="1"/>
  <c r="N17" i="1" s="1"/>
  <c r="M14" i="1"/>
  <c r="AJ17" i="1" l="1"/>
  <c r="AJ24" i="1"/>
  <c r="BF17" i="1"/>
  <c r="BF20" i="1"/>
  <c r="AJ22" i="1"/>
  <c r="AJ21" i="1"/>
  <c r="BF21" i="1"/>
  <c r="BF22" i="1"/>
  <c r="N22" i="1"/>
  <c r="N20" i="1"/>
  <c r="N21" i="1"/>
  <c r="AJ18" i="1"/>
  <c r="AJ23" i="1"/>
  <c r="BF18" i="1"/>
  <c r="BG13" i="1"/>
  <c r="BF19" i="1"/>
  <c r="BF24" i="1"/>
  <c r="BF16" i="1"/>
  <c r="BF15" i="1"/>
  <c r="AG25" i="1"/>
  <c r="Z82" i="2"/>
  <c r="AI20" i="1" s="1"/>
  <c r="BF14" i="1"/>
  <c r="AJ16" i="1"/>
  <c r="AJ14" i="1"/>
  <c r="AJ15" i="1"/>
  <c r="AY25" i="1"/>
  <c r="AK13" i="1"/>
  <c r="AJ19" i="1"/>
  <c r="M25" i="1"/>
  <c r="N18" i="1"/>
  <c r="N16" i="1"/>
  <c r="O13" i="1"/>
  <c r="O17" i="1" s="1"/>
  <c r="N19" i="1"/>
  <c r="N15" i="1"/>
  <c r="N14" i="1"/>
  <c r="BG17" i="1" l="1"/>
  <c r="BG20" i="1"/>
  <c r="AK17" i="1"/>
  <c r="AK24" i="1"/>
  <c r="BG22" i="1"/>
  <c r="BG21" i="1"/>
  <c r="AK22" i="1"/>
  <c r="AK21" i="1"/>
  <c r="O22" i="1"/>
  <c r="O20" i="1"/>
  <c r="O21" i="1"/>
  <c r="BG14" i="1"/>
  <c r="BG16" i="1"/>
  <c r="BH13" i="1"/>
  <c r="BG24" i="1"/>
  <c r="BG15" i="1"/>
  <c r="BG19" i="1"/>
  <c r="AK18" i="1"/>
  <c r="AK23" i="1"/>
  <c r="BG18" i="1"/>
  <c r="AH25" i="1"/>
  <c r="AA82" i="2"/>
  <c r="AJ20" i="1" s="1"/>
  <c r="AK15" i="1"/>
  <c r="AK19" i="1"/>
  <c r="AL13" i="1"/>
  <c r="AZ25" i="1"/>
  <c r="AK14" i="1"/>
  <c r="AK16" i="1"/>
  <c r="N25" i="1"/>
  <c r="O18" i="1"/>
  <c r="O16" i="1"/>
  <c r="O14" i="1"/>
  <c r="O15" i="1"/>
  <c r="P13" i="1"/>
  <c r="P17" i="1" s="1"/>
  <c r="O19" i="1"/>
  <c r="BH17" i="1" l="1"/>
  <c r="BH20" i="1"/>
  <c r="BI13" i="1"/>
  <c r="BI16" i="1" s="1"/>
  <c r="AL17" i="1"/>
  <c r="AL24" i="1"/>
  <c r="BH22" i="1"/>
  <c r="BH21" i="1"/>
  <c r="P21" i="1"/>
  <c r="P22" i="1"/>
  <c r="P20" i="1"/>
  <c r="AL22" i="1"/>
  <c r="AL21" i="1"/>
  <c r="AL20" i="1"/>
  <c r="BH19" i="1"/>
  <c r="BH24" i="1"/>
  <c r="BH16" i="1"/>
  <c r="BH18" i="1"/>
  <c r="BH14" i="1"/>
  <c r="BH15" i="1"/>
  <c r="AL23" i="1"/>
  <c r="AM13" i="1"/>
  <c r="AL16" i="1"/>
  <c r="AL14" i="1"/>
  <c r="AI25" i="1"/>
  <c r="AB82" i="2"/>
  <c r="AK20" i="1" s="1"/>
  <c r="AL15" i="1"/>
  <c r="BA25" i="1"/>
  <c r="AL19" i="1"/>
  <c r="AL18" i="1"/>
  <c r="O25" i="1"/>
  <c r="P18" i="1"/>
  <c r="P16" i="1"/>
  <c r="P19" i="1"/>
  <c r="P14" i="1"/>
  <c r="Q13" i="1"/>
  <c r="Q17" i="1" s="1"/>
  <c r="P15" i="1"/>
  <c r="BI18" i="1" l="1"/>
  <c r="BI21" i="1"/>
  <c r="BJ13" i="1"/>
  <c r="BJ17" i="1" s="1"/>
  <c r="BI22" i="1"/>
  <c r="BI15" i="1"/>
  <c r="BI24" i="1"/>
  <c r="BI19" i="1"/>
  <c r="BI14" i="1"/>
  <c r="AM17" i="1"/>
  <c r="AM24" i="1"/>
  <c r="BI17" i="1"/>
  <c r="BI20" i="1"/>
  <c r="AM22" i="1"/>
  <c r="AM20" i="1"/>
  <c r="AM21" i="1"/>
  <c r="Q21" i="1"/>
  <c r="Q22" i="1"/>
  <c r="Q20" i="1"/>
  <c r="AN13" i="1"/>
  <c r="AM16" i="1"/>
  <c r="AM18" i="1"/>
  <c r="AM23" i="1"/>
  <c r="AM14" i="1"/>
  <c r="AM15" i="1"/>
  <c r="BB25" i="1"/>
  <c r="AM19" i="1"/>
  <c r="AJ25" i="1"/>
  <c r="AC82" i="2"/>
  <c r="AD82" i="2" s="1"/>
  <c r="P25" i="1"/>
  <c r="Q18" i="1"/>
  <c r="Q16" i="1"/>
  <c r="Q19" i="1"/>
  <c r="Q14" i="1"/>
  <c r="R13" i="1"/>
  <c r="R17" i="1" s="1"/>
  <c r="Q15" i="1"/>
  <c r="BJ24" i="1"/>
  <c r="BJ14" i="1" l="1"/>
  <c r="BJ18" i="1"/>
  <c r="BJ19" i="1"/>
  <c r="BJ16" i="1"/>
  <c r="BJ21" i="1"/>
  <c r="BJ22" i="1"/>
  <c r="BJ15" i="1"/>
  <c r="BK13" i="1"/>
  <c r="BK22" i="1" s="1"/>
  <c r="BJ20" i="1"/>
  <c r="AN17" i="1"/>
  <c r="AN24" i="1"/>
  <c r="R22" i="1"/>
  <c r="R20" i="1"/>
  <c r="R21" i="1"/>
  <c r="AN20" i="1"/>
  <c r="AN22" i="1"/>
  <c r="AN21" i="1"/>
  <c r="AN19" i="1"/>
  <c r="AN23" i="1"/>
  <c r="AN14" i="1"/>
  <c r="AN16" i="1"/>
  <c r="AO13" i="1"/>
  <c r="AN15" i="1"/>
  <c r="AN18" i="1"/>
  <c r="BC25" i="1"/>
  <c r="AK25" i="1"/>
  <c r="AL25" i="1" s="1"/>
  <c r="AM25" i="1" s="1"/>
  <c r="AE82" i="2"/>
  <c r="AF82" i="2" s="1"/>
  <c r="AG82" i="2" s="1"/>
  <c r="AH82" i="2" s="1"/>
  <c r="AI82" i="2" s="1"/>
  <c r="AJ82" i="2" s="1"/>
  <c r="AK82" i="2" s="1"/>
  <c r="Y30" i="1"/>
  <c r="Q25" i="1"/>
  <c r="R18" i="1"/>
  <c r="R16" i="1"/>
  <c r="S13" i="1"/>
  <c r="S17" i="1" s="1"/>
  <c r="R19" i="1"/>
  <c r="R14" i="1"/>
  <c r="R15" i="1"/>
  <c r="BK16" i="1" l="1"/>
  <c r="BK14" i="1"/>
  <c r="BK20" i="1"/>
  <c r="BK21" i="1"/>
  <c r="BK15" i="1"/>
  <c r="BK17" i="1"/>
  <c r="BL13" i="1"/>
  <c r="BL17" i="1" s="1"/>
  <c r="BK19" i="1"/>
  <c r="BK18" i="1"/>
  <c r="BK24" i="1"/>
  <c r="AP13" i="1"/>
  <c r="AP22" i="1" s="1"/>
  <c r="AO17" i="1"/>
  <c r="AO24" i="1"/>
  <c r="S21" i="1"/>
  <c r="S22" i="1"/>
  <c r="S20" i="1"/>
  <c r="AO20" i="1"/>
  <c r="AO22" i="1"/>
  <c r="AO21" i="1"/>
  <c r="AO23" i="1"/>
  <c r="AO16" i="1"/>
  <c r="AO18" i="1"/>
  <c r="BD25" i="1"/>
  <c r="AO19" i="1"/>
  <c r="AO14" i="1"/>
  <c r="AO15" i="1"/>
  <c r="AN25" i="1"/>
  <c r="R25" i="1"/>
  <c r="S18" i="1"/>
  <c r="S16" i="1"/>
  <c r="T13" i="1"/>
  <c r="T17" i="1" s="1"/>
  <c r="S15" i="1"/>
  <c r="S14" i="1"/>
  <c r="S19" i="1"/>
  <c r="BL22" i="1" l="1"/>
  <c r="BL18" i="1"/>
  <c r="BL24" i="1"/>
  <c r="BL21" i="1"/>
  <c r="BM13" i="1"/>
  <c r="BM15" i="1" s="1"/>
  <c r="BL19" i="1"/>
  <c r="BL14" i="1"/>
  <c r="BL20" i="1"/>
  <c r="BL16" i="1"/>
  <c r="BL15" i="1"/>
  <c r="AP15" i="1"/>
  <c r="AQ13" i="1"/>
  <c r="AQ20" i="1" s="1"/>
  <c r="AP16" i="1"/>
  <c r="AP20" i="1"/>
  <c r="AP14" i="1"/>
  <c r="AP21" i="1"/>
  <c r="AP19" i="1"/>
  <c r="AP23" i="1"/>
  <c r="AP18" i="1"/>
  <c r="AP17" i="1"/>
  <c r="AP24" i="1"/>
  <c r="T20" i="1"/>
  <c r="T21" i="1"/>
  <c r="T22" i="1"/>
  <c r="AO25" i="1"/>
  <c r="BE25" i="1"/>
  <c r="S25" i="1"/>
  <c r="T18" i="1"/>
  <c r="T16" i="1"/>
  <c r="T19" i="1"/>
  <c r="U13" i="1"/>
  <c r="U17" i="1" s="1"/>
  <c r="T15" i="1"/>
  <c r="T14" i="1"/>
  <c r="AQ17" i="1" l="1"/>
  <c r="AQ14" i="1"/>
  <c r="BM17" i="1"/>
  <c r="BM16" i="1"/>
  <c r="BM20" i="1"/>
  <c r="AR13" i="1"/>
  <c r="AR17" i="1" s="1"/>
  <c r="BN13" i="1"/>
  <c r="BN17" i="1" s="1"/>
  <c r="BM19" i="1"/>
  <c r="BM24" i="1"/>
  <c r="BM21" i="1"/>
  <c r="BM22" i="1"/>
  <c r="BM18" i="1"/>
  <c r="AQ22" i="1"/>
  <c r="BM14" i="1"/>
  <c r="AQ23" i="1"/>
  <c r="AQ21" i="1"/>
  <c r="AQ16" i="1"/>
  <c r="AQ19" i="1"/>
  <c r="AQ24" i="1"/>
  <c r="AQ15" i="1"/>
  <c r="AQ18" i="1"/>
  <c r="AP25" i="1"/>
  <c r="U20" i="1"/>
  <c r="U22" i="1"/>
  <c r="U21" i="1"/>
  <c r="BF25" i="1"/>
  <c r="T25" i="1"/>
  <c r="U18" i="1"/>
  <c r="U16" i="1"/>
  <c r="U19" i="1"/>
  <c r="V13" i="1"/>
  <c r="V17" i="1" s="1"/>
  <c r="U15" i="1"/>
  <c r="U14" i="1"/>
  <c r="AR15" i="1" l="1"/>
  <c r="AR14" i="1"/>
  <c r="AR16" i="1"/>
  <c r="AS13" i="1"/>
  <c r="AS17" i="1" s="1"/>
  <c r="Y17" i="1" s="1"/>
  <c r="BN16" i="1"/>
  <c r="AR20" i="1"/>
  <c r="AR21" i="1"/>
  <c r="AR22" i="1"/>
  <c r="AR23" i="1"/>
  <c r="AR24" i="1"/>
  <c r="AR19" i="1"/>
  <c r="AR18" i="1"/>
  <c r="BN14" i="1"/>
  <c r="BN19" i="1"/>
  <c r="BO13" i="1"/>
  <c r="BO24" i="1" s="1"/>
  <c r="BN24" i="1"/>
  <c r="BN22" i="1"/>
  <c r="BN20" i="1"/>
  <c r="BN18" i="1"/>
  <c r="BN15" i="1"/>
  <c r="BN21" i="1"/>
  <c r="AQ25" i="1"/>
  <c r="BO17" i="1"/>
  <c r="AU17" i="1" s="1"/>
  <c r="V22" i="1"/>
  <c r="V21" i="1"/>
  <c r="V20" i="1"/>
  <c r="BG25" i="1"/>
  <c r="BH25" i="1" s="1"/>
  <c r="BI25" i="1" s="1"/>
  <c r="BJ25" i="1" s="1"/>
  <c r="BK25" i="1" s="1"/>
  <c r="BL25" i="1" s="1"/>
  <c r="BM25" i="1" s="1"/>
  <c r="U25" i="1"/>
  <c r="V18" i="1"/>
  <c r="V16" i="1"/>
  <c r="V19" i="1"/>
  <c r="V14" i="1"/>
  <c r="W13" i="1"/>
  <c r="W17" i="1" s="1"/>
  <c r="V15" i="1"/>
  <c r="AS14" i="1" l="1"/>
  <c r="X14" i="1" s="1"/>
  <c r="BO16" i="1"/>
  <c r="AU16" i="1" s="1"/>
  <c r="AS23" i="1"/>
  <c r="Y23" i="1" s="1"/>
  <c r="AS15" i="1"/>
  <c r="Y15" i="1" s="1"/>
  <c r="AS18" i="1"/>
  <c r="Y18" i="1" s="1"/>
  <c r="AS19" i="1"/>
  <c r="Y19" i="1" s="1"/>
  <c r="AS22" i="1"/>
  <c r="Y22" i="1" s="1"/>
  <c r="BO20" i="1"/>
  <c r="AU20" i="1" s="1"/>
  <c r="BO14" i="1"/>
  <c r="AT14" i="1" s="1"/>
  <c r="BO19" i="1"/>
  <c r="AT19" i="1" s="1"/>
  <c r="BO22" i="1"/>
  <c r="AT22" i="1" s="1"/>
  <c r="BO15" i="1"/>
  <c r="AU15" i="1" s="1"/>
  <c r="BO18" i="1"/>
  <c r="AT18" i="1" s="1"/>
  <c r="BO21" i="1"/>
  <c r="AT21" i="1" s="1"/>
  <c r="AS20" i="1"/>
  <c r="X20" i="1" s="1"/>
  <c r="AS24" i="1"/>
  <c r="X24" i="1" s="1"/>
  <c r="AS16" i="1"/>
  <c r="X16" i="1" s="1"/>
  <c r="AS21" i="1"/>
  <c r="Y21" i="1" s="1"/>
  <c r="AR25" i="1"/>
  <c r="BN25" i="1"/>
  <c r="W22" i="1"/>
  <c r="C22" i="1" s="1"/>
  <c r="W20" i="1"/>
  <c r="W21" i="1"/>
  <c r="V25" i="1"/>
  <c r="W18" i="1"/>
  <c r="W16" i="1"/>
  <c r="AT17" i="1"/>
  <c r="X17" i="1"/>
  <c r="W15" i="1"/>
  <c r="B15" i="1" s="1"/>
  <c r="W14" i="1"/>
  <c r="C14" i="1" s="1"/>
  <c r="W19" i="1"/>
  <c r="C19" i="1" s="1"/>
  <c r="AU24" i="1"/>
  <c r="AT24" i="1"/>
  <c r="X23" i="1"/>
  <c r="AT16" i="1" l="1"/>
  <c r="Y14" i="1"/>
  <c r="X18" i="1"/>
  <c r="X22" i="1"/>
  <c r="X15" i="1"/>
  <c r="AT20" i="1"/>
  <c r="X19" i="1"/>
  <c r="Y24" i="1"/>
  <c r="AU14" i="1"/>
  <c r="AS25" i="1"/>
  <c r="AT15" i="1"/>
  <c r="Y16" i="1"/>
  <c r="BO25" i="1"/>
  <c r="Y20" i="1"/>
  <c r="AU21" i="1"/>
  <c r="AU18" i="1"/>
  <c r="AU19" i="1"/>
  <c r="AU22" i="1"/>
  <c r="X21" i="1"/>
  <c r="W25" i="1"/>
  <c r="B17" i="1"/>
  <c r="C17" i="1"/>
  <c r="C16" i="1"/>
  <c r="B16" i="1"/>
  <c r="B19" i="1"/>
  <c r="B14" i="1"/>
  <c r="C15" i="1"/>
  <c r="C20" i="1"/>
  <c r="B20" i="1"/>
  <c r="B21" i="1"/>
  <c r="C21" i="1"/>
  <c r="C18" i="1"/>
  <c r="B18" i="1"/>
  <c r="B22" i="1"/>
  <c r="AT25" i="1" l="1"/>
  <c r="AU25" i="1"/>
  <c r="X25" i="1"/>
  <c r="Y25" i="1"/>
  <c r="B25" i="1"/>
  <c r="C25" i="1"/>
  <c r="C28" i="2" l="1"/>
  <c r="C27" i="2"/>
</calcChain>
</file>

<file path=xl/sharedStrings.xml><?xml version="1.0" encoding="utf-8"?>
<sst xmlns="http://schemas.openxmlformats.org/spreadsheetml/2006/main" count="403" uniqueCount="233">
  <si>
    <t>Vehicle</t>
  </si>
  <si>
    <t>EVSE Cost</t>
  </si>
  <si>
    <t>Weight Class</t>
  </si>
  <si>
    <t>Maintenance Cost</t>
  </si>
  <si>
    <t>Maintenance Cost ($/mi.)</t>
  </si>
  <si>
    <t>Class 2B-3</t>
  </si>
  <si>
    <t>Class 8</t>
  </si>
  <si>
    <t>Class 4-7</t>
  </si>
  <si>
    <t>Delivery Van</t>
  </si>
  <si>
    <t>Refuse Truck</t>
  </si>
  <si>
    <t>Fuel Cost</t>
  </si>
  <si>
    <t>Diesel</t>
  </si>
  <si>
    <t>Gasoline</t>
  </si>
  <si>
    <t>Electricity - Class 2B-3</t>
  </si>
  <si>
    <t>Electricity - Class 4-8</t>
  </si>
  <si>
    <t>CARB Battery-Cost Paper</t>
  </si>
  <si>
    <t>Bloomberg Cost Estimate</t>
  </si>
  <si>
    <t>Electric</t>
  </si>
  <si>
    <t>Infrastruture Upgrade Cost</t>
  </si>
  <si>
    <t>Daily Miles</t>
  </si>
  <si>
    <t>Start Date</t>
  </si>
  <si>
    <t>Residual Value</t>
  </si>
  <si>
    <t>Discount Rate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</si>
  <si>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</si>
  <si>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</si>
  <si>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</si>
  <si>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</si>
  <si>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</si>
  <si>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</si>
  <si>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</si>
  <si>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</si>
  <si>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</si>
  <si>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</si>
  <si>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</si>
  <si>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</si>
  <si>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</si>
  <si>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</si>
  <si>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</si>
  <si>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</si>
  <si>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</si>
  <si>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</si>
  <si>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</si>
  <si>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</si>
  <si>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LADWP</t>
  </si>
  <si>
    <t>PG&amp;E</t>
  </si>
  <si>
    <t>SMUD</t>
  </si>
  <si>
    <t>SDG&amp;E</t>
  </si>
  <si>
    <t>SCE</t>
  </si>
  <si>
    <t>Utility Provider</t>
  </si>
  <si>
    <t>Depot Charge</t>
  </si>
  <si>
    <t>Charger Cost</t>
  </si>
  <si>
    <t>LCFS Revenue</t>
  </si>
  <si>
    <t>Electricity</t>
  </si>
  <si>
    <t>Electricity Scaling</t>
  </si>
  <si>
    <t>Total Cost</t>
  </si>
  <si>
    <t>Or enter own value:</t>
  </si>
  <si>
    <t>Battery Cost Estimate</t>
  </si>
  <si>
    <t>Or enter own value (kWh):</t>
  </si>
  <si>
    <t>Battery Size Assumption (kWh)</t>
  </si>
  <si>
    <t>BE Maintenance Reduction</t>
  </si>
  <si>
    <t>Yes</t>
  </si>
  <si>
    <t>TOTAL</t>
  </si>
  <si>
    <t>Operating days/yr.</t>
  </si>
  <si>
    <t>Hydrogen</t>
  </si>
  <si>
    <t>LCFS Credit Value</t>
  </si>
  <si>
    <t>ICCT</t>
  </si>
  <si>
    <t>Liquid H2 Delivery</t>
  </si>
  <si>
    <t>Gaseous H2 Delivery</t>
  </si>
  <si>
    <t>EV Infrastructure Cost</t>
  </si>
  <si>
    <t>Delivery Van - Diesel</t>
  </si>
  <si>
    <t>Delivery Van - Electric</t>
  </si>
  <si>
    <t>Delivery Van - Hydrogen</t>
  </si>
  <si>
    <t>Day Cab - Diesel</t>
  </si>
  <si>
    <t>Day Cab - Electric</t>
  </si>
  <si>
    <t>Day Cab - Hydrogen</t>
  </si>
  <si>
    <t>Day Cab</t>
  </si>
  <si>
    <t>Hydrogen Storage (kg)</t>
  </si>
  <si>
    <t>Or enter own value (kg):</t>
  </si>
  <si>
    <t xml:space="preserve">On-Site Electrolysis </t>
  </si>
  <si>
    <t xml:space="preserve">On-Site SMR </t>
  </si>
  <si>
    <t>Financing Rate</t>
  </si>
  <si>
    <t>Financing Period (years)</t>
  </si>
  <si>
    <t>Hydrogen - Class 2B-3</t>
  </si>
  <si>
    <t>Hydrogen - Class 4-8</t>
  </si>
  <si>
    <t>Purchase or Finance?</t>
  </si>
  <si>
    <t>Motor Size (kW)</t>
  </si>
  <si>
    <t>Fuel Cell System ($/kW)</t>
  </si>
  <si>
    <t>Hydrogen Storage ($/kg)</t>
  </si>
  <si>
    <t>Hydrogen Source</t>
  </si>
  <si>
    <t>EV Components ($/kW)</t>
  </si>
  <si>
    <t>Battery Cost ($/kWh)</t>
  </si>
  <si>
    <t>Glider Cost ($)</t>
  </si>
  <si>
    <t>Vehicle Weight Class</t>
  </si>
  <si>
    <t>Ricardo</t>
  </si>
  <si>
    <t>Cost Assumption Source</t>
  </si>
  <si>
    <t>Fixed Costs ($)</t>
  </si>
  <si>
    <t>Average Maint. Cost ($/mi.)</t>
  </si>
  <si>
    <t>Average Fuel Cost ($/gal.)</t>
  </si>
  <si>
    <t>Fuel Economy (mi./gal)</t>
  </si>
  <si>
    <t>Low Volume</t>
  </si>
  <si>
    <t>Intermediate Volume</t>
  </si>
  <si>
    <t>High Volume</t>
  </si>
  <si>
    <t>CA Weighted Average</t>
  </si>
  <si>
    <t>Average Fuel Cost ($/kg)</t>
  </si>
  <si>
    <t>Fuel Economy (mi./kg)</t>
  </si>
  <si>
    <t>Fuel Economy (mi./kWh)</t>
  </si>
  <si>
    <t>Include Taxes?</t>
  </si>
  <si>
    <t>Federal Excise Tax</t>
  </si>
  <si>
    <t>Sales Tax</t>
  </si>
  <si>
    <t>Passenger Van</t>
  </si>
  <si>
    <t>Passenger Van - Diesel</t>
  </si>
  <si>
    <t>Passenger Van - Electric</t>
  </si>
  <si>
    <t>Passenger Van - Hydrogen</t>
  </si>
  <si>
    <t>Registration</t>
  </si>
  <si>
    <t>Registration Fee</t>
  </si>
  <si>
    <t>Taxes</t>
  </si>
  <si>
    <t>Financing Costs</t>
  </si>
  <si>
    <t>Average Fuel Cost ($/kWh)</t>
  </si>
  <si>
    <t>EV Weight Fee</t>
  </si>
  <si>
    <t>Diesel Weight Fee</t>
  </si>
  <si>
    <t>Midlife Costs</t>
  </si>
  <si>
    <t>Battery Replacement?</t>
  </si>
  <si>
    <t>Stack Refurbishment?</t>
  </si>
  <si>
    <t>Stack Refurbishment Year</t>
  </si>
  <si>
    <t>Engine Rebuild</t>
  </si>
  <si>
    <t>Spare Battery Capacity</t>
  </si>
  <si>
    <t>Glider Cost</t>
  </si>
  <si>
    <t>FC Stack Refurb</t>
  </si>
  <si>
    <t>FixedTab - Fixed Values Table</t>
  </si>
  <si>
    <t>TimeTab - Time Adjustments</t>
  </si>
  <si>
    <t>LCFSTab - LCFS Table</t>
  </si>
  <si>
    <t>kWhTab - Cost per kWh Table</t>
  </si>
  <si>
    <t>VehTab - Vehicle Specific  Table</t>
  </si>
  <si>
    <t>FuelTab - Fuel Cost Table</t>
  </si>
  <si>
    <t>Power Requirements (kW)</t>
  </si>
  <si>
    <t>Bloomberg 5-yr delay</t>
  </si>
  <si>
    <t>Truck Operating Life (yrs)</t>
  </si>
  <si>
    <t>Diesel Price</t>
  </si>
  <si>
    <t>Phase 2 Category</t>
  </si>
  <si>
    <t>Pickup/Van</t>
  </si>
  <si>
    <t>Vocational</t>
  </si>
  <si>
    <t>Tractor</t>
  </si>
  <si>
    <t>Class 4-7 FC Power Ratio</t>
  </si>
  <si>
    <t>Class 8 FC Power Ratio</t>
  </si>
  <si>
    <t>Class 2B-3 FC Power Ratio</t>
  </si>
  <si>
    <t>Battery Replacment Freq. (yr.)</t>
  </si>
  <si>
    <t>BEV Residual Ratio</t>
  </si>
  <si>
    <t>FC Stack Size (kW)</t>
  </si>
  <si>
    <t>FC Residual Ratio</t>
  </si>
  <si>
    <t>Vehicle Price</t>
  </si>
  <si>
    <t>Vehicle Price ($)</t>
  </si>
  <si>
    <t>LCFS revenue ($/kWh)</t>
  </si>
  <si>
    <t>LCFS revenue ($/kg)</t>
  </si>
  <si>
    <t>School Bus</t>
  </si>
  <si>
    <t>School Bus - Diesel</t>
  </si>
  <si>
    <t>School Bus - Electric</t>
  </si>
  <si>
    <t>School Bus - Hydrogen</t>
  </si>
  <si>
    <t>Fuel economy adjustment</t>
  </si>
  <si>
    <t>Refuse Truck - Diesel</t>
  </si>
  <si>
    <t>Refuse Truck - Hydrogen</t>
  </si>
  <si>
    <t>Refuse Truck - Electric</t>
  </si>
  <si>
    <t>EconTab - Fuel Economy Table (Diesel - mi/gal, Electric - mi/kWh, Hydrogen - mi/kg)</t>
  </si>
  <si>
    <t>Compressed from fossil NG SMR - Class 2B-3</t>
  </si>
  <si>
    <t>Liquid from fossil NG SMR - Class 2B-3</t>
  </si>
  <si>
    <t>Compressed from landfill NG SMR - Class 2B-3</t>
  </si>
  <si>
    <t>Liquid from landfill NG SMR - Class 2B-3</t>
  </si>
  <si>
    <t>Compressed from grid electrolysis - Class 2B-3</t>
  </si>
  <si>
    <t>Compressed from zero-CI electrolysis - Class 2B-3</t>
  </si>
  <si>
    <t>Compressed from fossil NG SMR - Class 4-8</t>
  </si>
  <si>
    <t>Liquid from fossil NG SMR - Class 4-8</t>
  </si>
  <si>
    <t>Compressed from landfill NG SMR - Class 4-8</t>
  </si>
  <si>
    <t>Liquid from landfill NG SMR - Class 4-8</t>
  </si>
  <si>
    <t>Compressed from grid electrolysis - Class 4-8</t>
  </si>
  <si>
    <t>Compressed from zero-CI electrolysis - Class 4-8</t>
  </si>
  <si>
    <t>Hydrogen Delivery Method</t>
  </si>
  <si>
    <t>Mixed (+0%)</t>
  </si>
  <si>
    <t>Finance</t>
  </si>
  <si>
    <t>Class 4-5 Box Truck</t>
  </si>
  <si>
    <t>Class 4-5 Box Truck - Diesel</t>
  </si>
  <si>
    <t>Class 4-5 Box Truck - Electric</t>
  </si>
  <si>
    <t>Class 4-5 Box Truck - Hydrogen</t>
  </si>
  <si>
    <t>Class 6-7 Box Truck</t>
  </si>
  <si>
    <t>Class 6-7 Box Truck - Diesel</t>
  </si>
  <si>
    <t>Class 6-7 Box Truck - Electric</t>
  </si>
  <si>
    <t>Class 6-7 Box Truck - Hydrogen</t>
  </si>
  <si>
    <t>Class 8 Box Truck</t>
  </si>
  <si>
    <t>Class 8 Box Truck - Diesel</t>
  </si>
  <si>
    <t>Class 8 Box Truck - Electric</t>
  </si>
  <si>
    <t>Class 8 Box Truck - Hydrogen</t>
  </si>
  <si>
    <t>InfTab - EV Infrastructure Info</t>
  </si>
  <si>
    <t>ResTab - Residual Value Table</t>
  </si>
  <si>
    <t>Pickup Truck</t>
  </si>
  <si>
    <t>Pickup Truck - Diesel</t>
  </si>
  <si>
    <t>Pickup Truck - Hydrogen</t>
  </si>
  <si>
    <t>Pickup Truck - Electric</t>
  </si>
  <si>
    <t>MileTab - Annual Miles Table</t>
  </si>
  <si>
    <t>Gasoline Price</t>
  </si>
  <si>
    <t>Base Price ($)</t>
  </si>
  <si>
    <t>GHG Phase 2 Cost ($)</t>
  </si>
  <si>
    <t>N/A</t>
  </si>
  <si>
    <t>Pickup Truck - Gasoline</t>
  </si>
  <si>
    <t>Passenger Van - Gasoline</t>
  </si>
  <si>
    <t>Phase2Tab - GHG Phase 2 Incremental Cost Table</t>
  </si>
  <si>
    <t>Delivery Van - Gasoline</t>
  </si>
  <si>
    <t>Mileage Assumption</t>
  </si>
  <si>
    <t>Net Present Value</t>
  </si>
  <si>
    <t>Engine Rebuild Freq. (yr.)</t>
  </si>
  <si>
    <t>Diesel Rebuild</t>
  </si>
  <si>
    <t>Ricardo - kg</t>
  </si>
  <si>
    <t>ICCT - kg</t>
  </si>
  <si>
    <t>ICCT - $</t>
  </si>
  <si>
    <t>Ricardo - $</t>
  </si>
  <si>
    <t>Ricardo - kWEV</t>
  </si>
  <si>
    <t>Ricardo - kWFC</t>
  </si>
  <si>
    <t>ICCT - kWEV</t>
  </si>
  <si>
    <t>ICCT - kWFC</t>
  </si>
  <si>
    <t>User Input - kWEV</t>
  </si>
  <si>
    <t>User Input - kWFC</t>
  </si>
  <si>
    <t>User Input - kg</t>
  </si>
  <si>
    <t>User Input</t>
  </si>
  <si>
    <t>ComponentTab - Component cost per kW Table</t>
  </si>
  <si>
    <t>User Input - Diesel</t>
  </si>
  <si>
    <t>User Input - Gasoline</t>
  </si>
  <si>
    <t>User Input - Electric</t>
  </si>
  <si>
    <t>User Input - Hydrogen</t>
  </si>
  <si>
    <t>FC Maintenance Reduction</t>
  </si>
  <si>
    <t>Infr. Ammortization Period</t>
  </si>
  <si>
    <t>HydTab - Hydrogen Sources Table</t>
  </si>
  <si>
    <t>H2LCFSTab - Hydrogen LCFS Table</t>
  </si>
  <si>
    <t>Compressed from landfill NG SMR</t>
  </si>
  <si>
    <t>User Input - $</t>
  </si>
  <si>
    <t>ZEV Indirect Cost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</si>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</sst>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"/>
    <numFmt numFmtId="167" formatCode="&quot;$&quot;#,##0.000"/>
    <numFmt numFmtId="168" formatCode="0.0%"/>
    <numFmt numFmtId="169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2" fontId="0" fillId="0" borderId="0" xfId="0" applyNumberFormat="1"/>
    <xf numFmtId="8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 applyAlignment="1">
      <alignment horizontal="right"/>
    </xf>
    <xf numFmtId="165" fontId="0" fillId="2" borderId="0" xfId="0" applyNumberFormat="1" applyFill="1" applyAlignment="1">
      <alignment horizontal="right"/>
    </xf>
    <xf numFmtId="0" fontId="0" fillId="2" borderId="0" xfId="0" applyFill="1"/>
    <xf numFmtId="9" fontId="0" fillId="2" borderId="0" xfId="1" applyFont="1" applyFill="1" applyAlignment="1">
      <alignment horizontal="right"/>
    </xf>
    <xf numFmtId="1" fontId="0" fillId="0" borderId="0" xfId="0" applyNumberFormat="1"/>
    <xf numFmtId="0" fontId="2" fillId="2" borderId="0" xfId="0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6" fontId="0" fillId="0" borderId="4" xfId="0" applyNumberFormat="1" applyBorder="1"/>
    <xf numFmtId="6" fontId="0" fillId="0" borderId="2" xfId="0" applyNumberFormat="1" applyBorder="1"/>
    <xf numFmtId="6" fontId="0" fillId="0" borderId="7" xfId="0" applyNumberFormat="1" applyBorder="1"/>
    <xf numFmtId="6" fontId="0" fillId="0" borderId="3" xfId="0" applyNumberFormat="1" applyBorder="1"/>
    <xf numFmtId="5" fontId="2" fillId="0" borderId="4" xfId="0" applyNumberFormat="1" applyFont="1" applyBorder="1"/>
    <xf numFmtId="5" fontId="2" fillId="0" borderId="2" xfId="0" applyNumberFormat="1" applyFont="1" applyBorder="1"/>
    <xf numFmtId="165" fontId="0" fillId="2" borderId="0" xfId="0" applyNumberFormat="1" applyFill="1"/>
    <xf numFmtId="164" fontId="0" fillId="2" borderId="0" xfId="0" applyNumberFormat="1" applyFill="1"/>
    <xf numFmtId="8" fontId="0" fillId="2" borderId="0" xfId="0" applyNumberFormat="1" applyFill="1"/>
    <xf numFmtId="0" fontId="3" fillId="0" borderId="1" xfId="0" applyFont="1" applyBorder="1" applyAlignment="1">
      <alignment horizontal="center"/>
    </xf>
    <xf numFmtId="0" fontId="0" fillId="0" borderId="1" xfId="0" applyBorder="1"/>
    <xf numFmtId="165" fontId="4" fillId="0" borderId="0" xfId="0" applyNumberFormat="1" applyFont="1"/>
    <xf numFmtId="10" fontId="0" fillId="0" borderId="0" xfId="0" applyNumberFormat="1"/>
    <xf numFmtId="9" fontId="0" fillId="2" borderId="0" xfId="1" applyFont="1" applyFill="1"/>
    <xf numFmtId="2" fontId="0" fillId="2" borderId="0" xfId="0" applyNumberFormat="1" applyFill="1"/>
    <xf numFmtId="0" fontId="0" fillId="0" borderId="8" xfId="0" applyBorder="1"/>
    <xf numFmtId="165" fontId="0" fillId="0" borderId="8" xfId="0" applyNumberFormat="1" applyBorder="1"/>
    <xf numFmtId="9" fontId="0" fillId="0" borderId="0" xfId="1" applyFont="1"/>
    <xf numFmtId="9" fontId="0" fillId="0" borderId="0" xfId="1" applyFont="1" applyFill="1" applyBorder="1"/>
    <xf numFmtId="0" fontId="0" fillId="0" borderId="0" xfId="0" applyBorder="1"/>
    <xf numFmtId="5" fontId="0" fillId="0" borderId="4" xfId="0" applyNumberFormat="1" applyBorder="1"/>
    <xf numFmtId="5" fontId="0" fillId="0" borderId="2" xfId="0" applyNumberFormat="1" applyBorder="1"/>
    <xf numFmtId="5" fontId="0" fillId="0" borderId="7" xfId="0" applyNumberFormat="1" applyBorder="1"/>
    <xf numFmtId="5" fontId="0" fillId="0" borderId="3" xfId="0" applyNumberFormat="1" applyBorder="1"/>
    <xf numFmtId="5" fontId="0" fillId="0" borderId="9" xfId="0" applyNumberFormat="1" applyBorder="1"/>
    <xf numFmtId="5" fontId="0" fillId="0" borderId="10" xfId="0" applyNumberFormat="1" applyBorder="1"/>
    <xf numFmtId="164" fontId="0" fillId="0" borderId="11" xfId="0" applyNumberFormat="1" applyBorder="1"/>
    <xf numFmtId="6" fontId="0" fillId="0" borderId="9" xfId="0" applyNumberFormat="1" applyBorder="1"/>
    <xf numFmtId="6" fontId="0" fillId="0" borderId="10" xfId="0" applyNumberFormat="1" applyBorder="1"/>
    <xf numFmtId="164" fontId="0" fillId="0" borderId="0" xfId="0" applyNumberFormat="1" applyBorder="1"/>
    <xf numFmtId="5" fontId="0" fillId="0" borderId="12" xfId="0" applyNumberFormat="1" applyBorder="1"/>
    <xf numFmtId="5" fontId="0" fillId="0" borderId="13" xfId="0" applyNumberFormat="1" applyBorder="1"/>
    <xf numFmtId="164" fontId="0" fillId="0" borderId="8" xfId="0" applyNumberFormat="1" applyBorder="1"/>
    <xf numFmtId="6" fontId="0" fillId="0" borderId="12" xfId="0" applyNumberFormat="1" applyBorder="1"/>
    <xf numFmtId="6" fontId="0" fillId="0" borderId="13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6" fontId="3" fillId="0" borderId="0" xfId="0" applyNumberFormat="1" applyFont="1"/>
    <xf numFmtId="6" fontId="3" fillId="0" borderId="2" xfId="0" applyNumberFormat="1" applyFont="1" applyBorder="1"/>
    <xf numFmtId="165" fontId="0" fillId="0" borderId="0" xfId="0" applyNumberFormat="1" applyFill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13" xfId="0" applyBorder="1"/>
    <xf numFmtId="164" fontId="0" fillId="0" borderId="1" xfId="0" applyNumberFormat="1" applyBorder="1"/>
    <xf numFmtId="164" fontId="0" fillId="0" borderId="7" xfId="0" applyNumberFormat="1" applyBorder="1"/>
    <xf numFmtId="164" fontId="0" fillId="0" borderId="3" xfId="0" applyNumberFormat="1" applyBorder="1"/>
    <xf numFmtId="0" fontId="0" fillId="0" borderId="0" xfId="0" applyBorder="1" applyAlignment="1">
      <alignment horizontal="left"/>
    </xf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3" fillId="0" borderId="0" xfId="0" applyFont="1" applyBorder="1"/>
    <xf numFmtId="0" fontId="0" fillId="2" borderId="0" xfId="0" applyFill="1" applyBorder="1" applyAlignment="1">
      <alignment horizontal="right"/>
    </xf>
    <xf numFmtId="9" fontId="0" fillId="2" borderId="0" xfId="0" applyNumberForma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6" fontId="3" fillId="0" borderId="4" xfId="0" applyNumberFormat="1" applyFont="1" applyBorder="1"/>
    <xf numFmtId="0" fontId="0" fillId="2" borderId="0" xfId="0" applyNumberFormat="1" applyFill="1"/>
    <xf numFmtId="2" fontId="0" fillId="2" borderId="0" xfId="1" applyNumberFormat="1" applyFont="1" applyFill="1"/>
    <xf numFmtId="164" fontId="3" fillId="0" borderId="0" xfId="0" applyNumberFormat="1" applyFont="1"/>
    <xf numFmtId="165" fontId="3" fillId="0" borderId="0" xfId="0" applyNumberFormat="1" applyFont="1"/>
    <xf numFmtId="5" fontId="0" fillId="0" borderId="0" xfId="0" applyNumberFormat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165" fontId="0" fillId="2" borderId="0" xfId="2" applyNumberFormat="1" applyFont="1" applyFill="1"/>
    <xf numFmtId="168" fontId="0" fillId="2" borderId="0" xfId="1" applyNumberFormat="1" applyFont="1" applyFill="1"/>
    <xf numFmtId="0" fontId="0" fillId="0" borderId="0" xfId="0" applyAlignment="1"/>
    <xf numFmtId="169" fontId="0" fillId="2" borderId="0" xfId="3" applyNumberFormat="1" applyFont="1" applyFill="1"/>
    <xf numFmtId="165" fontId="0" fillId="0" borderId="0" xfId="2" applyNumberFormat="1" applyFont="1"/>
    <xf numFmtId="164" fontId="0" fillId="0" borderId="5" xfId="0" applyNumberFormat="1" applyBorder="1"/>
    <xf numFmtId="164" fontId="0" fillId="0" borderId="14" xfId="0" applyNumberFormat="1" applyBorder="1"/>
    <xf numFmtId="164" fontId="0" fillId="0" borderId="6" xfId="0" applyNumberFormat="1" applyBorder="1"/>
    <xf numFmtId="164" fontId="3" fillId="0" borderId="4" xfId="0" applyNumberFormat="1" applyFont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2" fontId="0" fillId="0" borderId="2" xfId="0" applyNumberFormat="1" applyBorder="1"/>
    <xf numFmtId="167" fontId="0" fillId="0" borderId="2" xfId="0" applyNumberFormat="1" applyBorder="1"/>
    <xf numFmtId="166" fontId="0" fillId="0" borderId="2" xfId="0" applyNumberFormat="1" applyBorder="1"/>
    <xf numFmtId="165" fontId="0" fillId="0" borderId="2" xfId="0" applyNumberFormat="1" applyBorder="1"/>
    <xf numFmtId="0" fontId="0" fillId="2" borderId="0" xfId="1" applyNumberFormat="1" applyFont="1" applyFill="1"/>
    <xf numFmtId="0" fontId="0" fillId="0" borderId="4" xfId="0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0</xdr:rowOff>
        </xdr:from>
        <xdr:to>
          <xdr:col>13</xdr:col>
          <xdr:colOff>514350</xdr:colOff>
          <xdr:row>107</xdr:row>
          <xdr:rowOff>28575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115" zoomScaleNormal="115" workbookViewId="0">
      <selection activeCell="P7" sqref="P7"/>
    </sheetView>
  </sheetViews>
  <sheetFormatPr defaultRowHeight="15" x14ac:dyDescent="0.25"/>
  <sheetData/>
  <pageMargins left="0" right="0" top="0" bottom="0" header="0.3" footer="0.3"/>
  <pageSetup fitToHeight="0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0</xdr:rowOff>
              </from>
              <to>
                <xdr:col>13</xdr:col>
                <xdr:colOff>514350</xdr:colOff>
                <xdr:row>107</xdr:row>
                <xdr:rowOff>38100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CM47"/>
  <sheetViews>
    <sheetView zoomScale="85" zoomScaleNormal="85" workbookViewId="0">
      <pane xSplit="1" topLeftCell="B1" activePane="topRight" state="frozen"/>
      <selection pane="topRight" activeCell="C4" sqref="C4"/>
    </sheetView>
  </sheetViews>
  <sheetFormatPr defaultRowHeight="15" outlineLevelCol="1" x14ac:dyDescent="0.25"/>
  <cols>
    <col min="1" max="1" width="26.85546875" customWidth="1"/>
    <col min="2" max="2" width="24.85546875" bestFit="1" customWidth="1"/>
    <col min="3" max="3" width="24.85546875" customWidth="1" collapsed="1"/>
    <col min="4" max="4" width="11.85546875" hidden="1" customWidth="1" outlineLevel="1"/>
    <col min="5" max="23" width="12.5703125" hidden="1" customWidth="1" outlineLevel="1"/>
    <col min="24" max="24" width="31.28515625" bestFit="1" customWidth="1" collapsed="1"/>
    <col min="25" max="25" width="24" customWidth="1" collapsed="1"/>
    <col min="26" max="45" width="11.28515625" hidden="1" customWidth="1" outlineLevel="1"/>
    <col min="46" max="46" width="29.5703125" customWidth="1"/>
    <col min="47" max="47" width="24" customWidth="1" collapsed="1"/>
    <col min="48" max="67" width="11.28515625" hidden="1" customWidth="1" outlineLevel="1"/>
    <col min="68" max="71" width="13.42578125" customWidth="1"/>
    <col min="72" max="73" width="13.42578125" bestFit="1" customWidth="1"/>
    <col min="74" max="77" width="10.85546875" bestFit="1" customWidth="1"/>
    <col min="78" max="90" width="11.85546875" bestFit="1" customWidth="1"/>
  </cols>
  <sheetData>
    <row r="1" spans="1:91" x14ac:dyDescent="0.25">
      <c r="B1" s="65" t="s">
        <v>0</v>
      </c>
      <c r="C1" s="67" t="s">
        <v>8</v>
      </c>
      <c r="X1" s="98" t="s">
        <v>48</v>
      </c>
      <c r="Y1" s="5" t="s">
        <v>102</v>
      </c>
      <c r="AT1" s="98" t="s">
        <v>174</v>
      </c>
      <c r="AU1" s="5" t="s">
        <v>66</v>
      </c>
    </row>
    <row r="2" spans="1:91" x14ac:dyDescent="0.25">
      <c r="B2" s="65" t="s">
        <v>20</v>
      </c>
      <c r="C2" s="67">
        <v>2018</v>
      </c>
      <c r="X2" s="65"/>
      <c r="AT2" s="65" t="s">
        <v>88</v>
      </c>
      <c r="AU2" s="7" t="s">
        <v>229</v>
      </c>
    </row>
    <row r="3" spans="1:91" x14ac:dyDescent="0.25">
      <c r="B3" s="65" t="s">
        <v>19</v>
      </c>
      <c r="C3" s="67">
        <v>80</v>
      </c>
      <c r="X3" s="65"/>
      <c r="AT3" s="65"/>
    </row>
    <row r="4" spans="1:91" x14ac:dyDescent="0.25">
      <c r="B4" s="65" t="s">
        <v>62</v>
      </c>
      <c r="C4" s="67">
        <v>300</v>
      </c>
      <c r="X4" s="65" t="s">
        <v>94</v>
      </c>
      <c r="Y4" s="5" t="s">
        <v>65</v>
      </c>
      <c r="AT4" s="65" t="s">
        <v>94</v>
      </c>
      <c r="AU4" s="5" t="s">
        <v>93</v>
      </c>
    </row>
    <row r="5" spans="1:91" x14ac:dyDescent="0.25">
      <c r="B5" s="65" t="s">
        <v>136</v>
      </c>
      <c r="C5" s="67">
        <v>12</v>
      </c>
      <c r="X5" s="65" t="s">
        <v>56</v>
      </c>
      <c r="Y5" s="5" t="s">
        <v>135</v>
      </c>
      <c r="AT5" s="65" t="s">
        <v>56</v>
      </c>
      <c r="AU5" s="5" t="s">
        <v>93</v>
      </c>
    </row>
    <row r="6" spans="1:91" x14ac:dyDescent="0.25">
      <c r="B6" s="65" t="s">
        <v>22</v>
      </c>
      <c r="C6" s="68">
        <v>0.05</v>
      </c>
      <c r="X6" s="65" t="s">
        <v>64</v>
      </c>
      <c r="Y6" s="6">
        <v>125</v>
      </c>
      <c r="AT6" s="65" t="s">
        <v>64</v>
      </c>
      <c r="AU6" s="55">
        <f>Y6</f>
        <v>125</v>
      </c>
    </row>
    <row r="7" spans="1:91" x14ac:dyDescent="0.25">
      <c r="B7" s="31"/>
      <c r="C7" s="31"/>
      <c r="X7" s="65" t="s">
        <v>59</v>
      </c>
      <c r="Y7" s="8">
        <v>0.25</v>
      </c>
      <c r="AT7" s="65" t="s">
        <v>225</v>
      </c>
      <c r="AU7" s="8">
        <v>0</v>
      </c>
    </row>
    <row r="8" spans="1:91" x14ac:dyDescent="0.25">
      <c r="B8" s="31" t="s">
        <v>157</v>
      </c>
      <c r="C8" s="67" t="s">
        <v>175</v>
      </c>
      <c r="X8" s="65"/>
      <c r="AT8" s="65"/>
    </row>
    <row r="9" spans="1:91" x14ac:dyDescent="0.25">
      <c r="B9" s="65" t="s">
        <v>124</v>
      </c>
      <c r="C9" s="69" t="s">
        <v>232</v>
      </c>
      <c r="X9" s="65" t="s">
        <v>121</v>
      </c>
      <c r="Y9" s="69" t="s">
        <v>232</v>
      </c>
      <c r="AT9" s="65" t="s">
        <v>122</v>
      </c>
      <c r="AU9" s="69" t="s">
        <v>60</v>
      </c>
    </row>
    <row r="10" spans="1:91" x14ac:dyDescent="0.25">
      <c r="B10" s="65" t="s">
        <v>206</v>
      </c>
      <c r="C10" s="69">
        <v>8</v>
      </c>
      <c r="X10" s="65" t="s">
        <v>145</v>
      </c>
      <c r="Y10" s="5">
        <v>8</v>
      </c>
      <c r="AT10" s="65" t="s">
        <v>123</v>
      </c>
      <c r="AU10" s="5">
        <v>8</v>
      </c>
    </row>
    <row r="11" spans="1:91" x14ac:dyDescent="0.25">
      <c r="B11" s="65"/>
      <c r="C11" s="31"/>
    </row>
    <row r="12" spans="1:91" x14ac:dyDescent="0.25">
      <c r="A12" s="62"/>
      <c r="B12" s="99" t="s">
        <v>11</v>
      </c>
      <c r="C12" s="100"/>
      <c r="D12" s="56" t="s">
        <v>23</v>
      </c>
      <c r="E12" s="56" t="s">
        <v>24</v>
      </c>
      <c r="F12" s="56" t="s">
        <v>25</v>
      </c>
      <c r="G12" s="56" t="s">
        <v>26</v>
      </c>
      <c r="H12" s="56" t="s">
        <v>27</v>
      </c>
      <c r="I12" s="56" t="s">
        <v>28</v>
      </c>
      <c r="J12" s="56" t="s">
        <v>29</v>
      </c>
      <c r="K12" s="56" t="s">
        <v>30</v>
      </c>
      <c r="L12" s="56" t="s">
        <v>31</v>
      </c>
      <c r="M12" s="56" t="s">
        <v>32</v>
      </c>
      <c r="N12" s="56" t="s">
        <v>33</v>
      </c>
      <c r="O12" s="56" t="s">
        <v>34</v>
      </c>
      <c r="P12" s="56" t="s">
        <v>35</v>
      </c>
      <c r="Q12" s="56" t="s">
        <v>36</v>
      </c>
      <c r="R12" s="56" t="s">
        <v>37</v>
      </c>
      <c r="S12" s="56" t="s">
        <v>38</v>
      </c>
      <c r="T12" s="56" t="s">
        <v>39</v>
      </c>
      <c r="U12" s="56" t="s">
        <v>40</v>
      </c>
      <c r="V12" s="56" t="s">
        <v>41</v>
      </c>
      <c r="W12" s="56" t="s">
        <v>42</v>
      </c>
      <c r="X12" s="101" t="s">
        <v>17</v>
      </c>
      <c r="Y12" s="102"/>
      <c r="Z12" s="56" t="s">
        <v>23</v>
      </c>
      <c r="AA12" s="56" t="s">
        <v>24</v>
      </c>
      <c r="AB12" s="56" t="s">
        <v>25</v>
      </c>
      <c r="AC12" s="56" t="s">
        <v>26</v>
      </c>
      <c r="AD12" s="56" t="s">
        <v>27</v>
      </c>
      <c r="AE12" s="56" t="s">
        <v>28</v>
      </c>
      <c r="AF12" s="56" t="s">
        <v>29</v>
      </c>
      <c r="AG12" s="56" t="s">
        <v>30</v>
      </c>
      <c r="AH12" s="56" t="s">
        <v>31</v>
      </c>
      <c r="AI12" s="56" t="s">
        <v>32</v>
      </c>
      <c r="AJ12" s="56" t="s">
        <v>33</v>
      </c>
      <c r="AK12" s="56" t="s">
        <v>34</v>
      </c>
      <c r="AL12" s="56" t="s">
        <v>35</v>
      </c>
      <c r="AM12" s="56" t="s">
        <v>36</v>
      </c>
      <c r="AN12" s="56" t="s">
        <v>37</v>
      </c>
      <c r="AO12" s="56" t="s">
        <v>38</v>
      </c>
      <c r="AP12" s="56" t="s">
        <v>39</v>
      </c>
      <c r="AQ12" s="56" t="s">
        <v>40</v>
      </c>
      <c r="AR12" s="56" t="s">
        <v>41</v>
      </c>
      <c r="AS12" s="56" t="s">
        <v>42</v>
      </c>
      <c r="AT12" s="101" t="s">
        <v>63</v>
      </c>
      <c r="AU12" s="102"/>
      <c r="AV12" s="63" t="s">
        <v>23</v>
      </c>
      <c r="AW12" s="56" t="s">
        <v>24</v>
      </c>
      <c r="AX12" s="56" t="s">
        <v>25</v>
      </c>
      <c r="AY12" s="56" t="s">
        <v>26</v>
      </c>
      <c r="AZ12" s="56" t="s">
        <v>27</v>
      </c>
      <c r="BA12" s="56" t="s">
        <v>28</v>
      </c>
      <c r="BB12" s="56" t="s">
        <v>29</v>
      </c>
      <c r="BC12" s="56" t="s">
        <v>30</v>
      </c>
      <c r="BD12" s="56" t="s">
        <v>31</v>
      </c>
      <c r="BE12" s="56" t="s">
        <v>32</v>
      </c>
      <c r="BF12" s="56" t="s">
        <v>33</v>
      </c>
      <c r="BG12" s="56" t="s">
        <v>34</v>
      </c>
      <c r="BH12" s="56" t="s">
        <v>35</v>
      </c>
      <c r="BI12" s="56" t="s">
        <v>36</v>
      </c>
      <c r="BJ12" s="56" t="s">
        <v>37</v>
      </c>
      <c r="BK12" s="56" t="s">
        <v>38</v>
      </c>
      <c r="BL12" s="56" t="s">
        <v>39</v>
      </c>
      <c r="BM12" s="56" t="s">
        <v>40</v>
      </c>
      <c r="BN12" s="56" t="s">
        <v>41</v>
      </c>
      <c r="BO12" s="57" t="s">
        <v>42</v>
      </c>
    </row>
    <row r="13" spans="1:91" ht="15.75" thickBot="1" x14ac:dyDescent="0.3">
      <c r="A13" s="22"/>
      <c r="B13" s="89" t="s">
        <v>205</v>
      </c>
      <c r="C13" s="90" t="s">
        <v>54</v>
      </c>
      <c r="D13" s="91">
        <f>$C$2</f>
        <v>2018</v>
      </c>
      <c r="E13" s="91">
        <f>D13+1</f>
        <v>2019</v>
      </c>
      <c r="F13" s="91">
        <f t="shared" ref="F13:W13" si="0">E13+1</f>
        <v>2020</v>
      </c>
      <c r="G13" s="91">
        <f t="shared" si="0"/>
        <v>2021</v>
      </c>
      <c r="H13" s="91">
        <f t="shared" si="0"/>
        <v>2022</v>
      </c>
      <c r="I13" s="91">
        <f t="shared" si="0"/>
        <v>2023</v>
      </c>
      <c r="J13" s="91">
        <f t="shared" si="0"/>
        <v>2024</v>
      </c>
      <c r="K13" s="91">
        <f t="shared" si="0"/>
        <v>2025</v>
      </c>
      <c r="L13" s="91">
        <f t="shared" si="0"/>
        <v>2026</v>
      </c>
      <c r="M13" s="91">
        <f t="shared" si="0"/>
        <v>2027</v>
      </c>
      <c r="N13" s="91">
        <f t="shared" si="0"/>
        <v>2028</v>
      </c>
      <c r="O13" s="91">
        <f t="shared" si="0"/>
        <v>2029</v>
      </c>
      <c r="P13" s="91">
        <f t="shared" si="0"/>
        <v>2030</v>
      </c>
      <c r="Q13" s="91">
        <f t="shared" si="0"/>
        <v>2031</v>
      </c>
      <c r="R13" s="91">
        <f t="shared" si="0"/>
        <v>2032</v>
      </c>
      <c r="S13" s="91">
        <f t="shared" si="0"/>
        <v>2033</v>
      </c>
      <c r="T13" s="91">
        <f t="shared" si="0"/>
        <v>2034</v>
      </c>
      <c r="U13" s="91">
        <f t="shared" si="0"/>
        <v>2035</v>
      </c>
      <c r="V13" s="91">
        <f t="shared" si="0"/>
        <v>2036</v>
      </c>
      <c r="W13" s="91">
        <f t="shared" si="0"/>
        <v>2037</v>
      </c>
      <c r="X13" s="89" t="s">
        <v>205</v>
      </c>
      <c r="Y13" s="90" t="s">
        <v>54</v>
      </c>
      <c r="Z13" s="91">
        <f>$C$2</f>
        <v>2018</v>
      </c>
      <c r="AA13" s="91">
        <f>Z13+1</f>
        <v>2019</v>
      </c>
      <c r="AB13" s="91">
        <f t="shared" ref="AB13:AS13" si="1">AA13+1</f>
        <v>2020</v>
      </c>
      <c r="AC13" s="91">
        <f t="shared" si="1"/>
        <v>2021</v>
      </c>
      <c r="AD13" s="91">
        <f t="shared" si="1"/>
        <v>2022</v>
      </c>
      <c r="AE13" s="91">
        <f t="shared" si="1"/>
        <v>2023</v>
      </c>
      <c r="AF13" s="91">
        <f t="shared" si="1"/>
        <v>2024</v>
      </c>
      <c r="AG13" s="91">
        <f t="shared" si="1"/>
        <v>2025</v>
      </c>
      <c r="AH13" s="91">
        <f t="shared" si="1"/>
        <v>2026</v>
      </c>
      <c r="AI13" s="91">
        <f t="shared" si="1"/>
        <v>2027</v>
      </c>
      <c r="AJ13" s="91">
        <f t="shared" si="1"/>
        <v>2028</v>
      </c>
      <c r="AK13" s="91">
        <f t="shared" si="1"/>
        <v>2029</v>
      </c>
      <c r="AL13" s="91">
        <f t="shared" si="1"/>
        <v>2030</v>
      </c>
      <c r="AM13" s="91">
        <f t="shared" si="1"/>
        <v>2031</v>
      </c>
      <c r="AN13" s="91">
        <f t="shared" si="1"/>
        <v>2032</v>
      </c>
      <c r="AO13" s="91">
        <f t="shared" si="1"/>
        <v>2033</v>
      </c>
      <c r="AP13" s="91">
        <f t="shared" si="1"/>
        <v>2034</v>
      </c>
      <c r="AQ13" s="91">
        <f t="shared" si="1"/>
        <v>2035</v>
      </c>
      <c r="AR13" s="91">
        <f t="shared" si="1"/>
        <v>2036</v>
      </c>
      <c r="AS13" s="91">
        <f t="shared" si="1"/>
        <v>2037</v>
      </c>
      <c r="AT13" s="89" t="s">
        <v>205</v>
      </c>
      <c r="AU13" s="90" t="s">
        <v>54</v>
      </c>
      <c r="AV13" s="65">
        <f>$C$2</f>
        <v>2018</v>
      </c>
      <c r="AW13" s="31">
        <f t="shared" ref="AW13:BO13" si="2">AV13+1</f>
        <v>2019</v>
      </c>
      <c r="AX13" s="31">
        <f t="shared" si="2"/>
        <v>2020</v>
      </c>
      <c r="AY13" s="31">
        <f t="shared" si="2"/>
        <v>2021</v>
      </c>
      <c r="AZ13" s="31">
        <f t="shared" si="2"/>
        <v>2022</v>
      </c>
      <c r="BA13" s="31">
        <f t="shared" si="2"/>
        <v>2023</v>
      </c>
      <c r="BB13" s="31">
        <f t="shared" si="2"/>
        <v>2024</v>
      </c>
      <c r="BC13" s="31">
        <f t="shared" si="2"/>
        <v>2025</v>
      </c>
      <c r="BD13" s="31">
        <f t="shared" si="2"/>
        <v>2026</v>
      </c>
      <c r="BE13" s="31">
        <f t="shared" si="2"/>
        <v>2027</v>
      </c>
      <c r="BF13" s="31">
        <f t="shared" si="2"/>
        <v>2028</v>
      </c>
      <c r="BG13" s="31">
        <f t="shared" si="2"/>
        <v>2029</v>
      </c>
      <c r="BH13" s="31">
        <f t="shared" si="2"/>
        <v>2030</v>
      </c>
      <c r="BI13" s="31">
        <f t="shared" si="2"/>
        <v>2031</v>
      </c>
      <c r="BJ13" s="31">
        <f t="shared" si="2"/>
        <v>2032</v>
      </c>
      <c r="BK13" s="31">
        <f t="shared" si="2"/>
        <v>2033</v>
      </c>
      <c r="BL13" s="31">
        <f t="shared" si="2"/>
        <v>2034</v>
      </c>
      <c r="BM13" s="31">
        <f t="shared" si="2"/>
        <v>2035</v>
      </c>
      <c r="BN13" s="31">
        <f t="shared" si="2"/>
        <v>2036</v>
      </c>
      <c r="BO13" s="58">
        <f t="shared" si="2"/>
        <v>2037</v>
      </c>
    </row>
    <row r="14" spans="1:91" x14ac:dyDescent="0.25">
      <c r="A14" s="31" t="s">
        <v>149</v>
      </c>
      <c r="B14" s="32">
        <f t="shared" ref="B14:B24" si="3">D14+NPV($C$6,E14:W14)</f>
        <v>71371.422915349045</v>
      </c>
      <c r="C14" s="33">
        <f>SUM(D14:W14)</f>
        <v>78500</v>
      </c>
      <c r="D14" s="41">
        <f t="shared" ref="D14:W14" si="4">IF($C$33="Purchase",IF(D$13=$C$2,$C$41,0),IF(AND(D$13&gt;=$C$2,D$13&lt;($C$2+$C$35)),$C$41/$C$35,0))</f>
        <v>15700</v>
      </c>
      <c r="E14" s="41">
        <f t="shared" si="4"/>
        <v>15700</v>
      </c>
      <c r="F14" s="41">
        <f t="shared" si="4"/>
        <v>15700</v>
      </c>
      <c r="G14" s="41">
        <f t="shared" si="4"/>
        <v>15700</v>
      </c>
      <c r="H14" s="41">
        <f t="shared" si="4"/>
        <v>15700</v>
      </c>
      <c r="I14" s="41">
        <f t="shared" si="4"/>
        <v>0</v>
      </c>
      <c r="J14" s="41">
        <f t="shared" si="4"/>
        <v>0</v>
      </c>
      <c r="K14" s="41">
        <f t="shared" si="4"/>
        <v>0</v>
      </c>
      <c r="L14" s="41">
        <f t="shared" si="4"/>
        <v>0</v>
      </c>
      <c r="M14" s="41">
        <f t="shared" si="4"/>
        <v>0</v>
      </c>
      <c r="N14" s="41">
        <f t="shared" si="4"/>
        <v>0</v>
      </c>
      <c r="O14" s="41">
        <f t="shared" si="4"/>
        <v>0</v>
      </c>
      <c r="P14" s="41">
        <f t="shared" si="4"/>
        <v>0</v>
      </c>
      <c r="Q14" s="41">
        <f t="shared" si="4"/>
        <v>0</v>
      </c>
      <c r="R14" s="41">
        <f t="shared" si="4"/>
        <v>0</v>
      </c>
      <c r="S14" s="41">
        <f t="shared" si="4"/>
        <v>0</v>
      </c>
      <c r="T14" s="41">
        <f t="shared" si="4"/>
        <v>0</v>
      </c>
      <c r="U14" s="41">
        <f t="shared" si="4"/>
        <v>0</v>
      </c>
      <c r="V14" s="41">
        <f t="shared" si="4"/>
        <v>0</v>
      </c>
      <c r="W14" s="41">
        <f t="shared" si="4"/>
        <v>0</v>
      </c>
      <c r="X14" s="12">
        <f t="shared" ref="X14:X24" si="5">Z14+NPV($C$6,AA14:AS14)</f>
        <v>138570.83794148732</v>
      </c>
      <c r="Y14" s="13">
        <f t="shared" ref="Y14:Y24" si="6">SUM(Z14:AS14)</f>
        <v>152411.29199999999</v>
      </c>
      <c r="Z14" s="41">
        <f>IF($C$33="Purchase",IF(Z$13=$C$2,$Y$41,0),IF(AND(Z$13&gt;=$C$2,Z$13&lt;($C$2+$C$35)),$Y$41/$C$35,0))</f>
        <v>30482.258399999999</v>
      </c>
      <c r="AA14" s="41">
        <f t="shared" ref="AA14:AS14" si="7">IF($C$33="Purchase",IF(AA$13=$C$2,$Y$41,0),IF(AND(AA$13&gt;=$C$2,AA$13&lt;($C$2+$C$35)),$Y$41/$C$35,0))</f>
        <v>30482.258399999999</v>
      </c>
      <c r="AB14" s="41">
        <f t="shared" si="7"/>
        <v>30482.258399999999</v>
      </c>
      <c r="AC14" s="41">
        <f t="shared" si="7"/>
        <v>30482.258399999999</v>
      </c>
      <c r="AD14" s="41">
        <f t="shared" si="7"/>
        <v>30482.258399999999</v>
      </c>
      <c r="AE14" s="41">
        <f t="shared" si="7"/>
        <v>0</v>
      </c>
      <c r="AF14" s="41">
        <f t="shared" si="7"/>
        <v>0</v>
      </c>
      <c r="AG14" s="41">
        <f t="shared" si="7"/>
        <v>0</v>
      </c>
      <c r="AH14" s="41">
        <f t="shared" si="7"/>
        <v>0</v>
      </c>
      <c r="AI14" s="41">
        <f t="shared" si="7"/>
        <v>0</v>
      </c>
      <c r="AJ14" s="41">
        <f t="shared" si="7"/>
        <v>0</v>
      </c>
      <c r="AK14" s="41">
        <f t="shared" si="7"/>
        <v>0</v>
      </c>
      <c r="AL14" s="41">
        <f t="shared" si="7"/>
        <v>0</v>
      </c>
      <c r="AM14" s="41">
        <f t="shared" si="7"/>
        <v>0</v>
      </c>
      <c r="AN14" s="41">
        <f t="shared" si="7"/>
        <v>0</v>
      </c>
      <c r="AO14" s="41">
        <f t="shared" si="7"/>
        <v>0</v>
      </c>
      <c r="AP14" s="41">
        <f t="shared" si="7"/>
        <v>0</v>
      </c>
      <c r="AQ14" s="41">
        <f t="shared" si="7"/>
        <v>0</v>
      </c>
      <c r="AR14" s="41">
        <f t="shared" si="7"/>
        <v>0</v>
      </c>
      <c r="AS14" s="41">
        <f t="shared" si="7"/>
        <v>0</v>
      </c>
      <c r="AT14" s="12">
        <f t="shared" ref="AT14:AT24" si="8">AV14+NPV($C$6,AW14:BO14)</f>
        <v>266294.05241797399</v>
      </c>
      <c r="AU14" s="13">
        <f>SUM(AV14:BO14)</f>
        <v>292891.5</v>
      </c>
      <c r="AV14" s="47">
        <f>IF($C$33="Purchase",IF(AV$13=$C$2,$AU$41,0),IF(AND(AV$13&gt;=$C$2,AV$13&lt;($C$2+$C$35)),$AU$41/$C$35,0))</f>
        <v>58578.3</v>
      </c>
      <c r="AW14" s="38">
        <f t="shared" ref="AW14:BO14" si="9">IF($C$33="Purchase",IF(AW$13=$C$2,$AU$41,0),IF(AND(AW$13&gt;=$C$2,AW$13&lt;($C$2+$C$35)),$AU$41/$C$35,0))</f>
        <v>58578.3</v>
      </c>
      <c r="AX14" s="38">
        <f t="shared" si="9"/>
        <v>58578.3</v>
      </c>
      <c r="AY14" s="38">
        <f t="shared" si="9"/>
        <v>58578.3</v>
      </c>
      <c r="AZ14" s="38">
        <f t="shared" si="9"/>
        <v>58578.3</v>
      </c>
      <c r="BA14" s="38">
        <f t="shared" si="9"/>
        <v>0</v>
      </c>
      <c r="BB14" s="38">
        <f t="shared" si="9"/>
        <v>0</v>
      </c>
      <c r="BC14" s="38">
        <f t="shared" si="9"/>
        <v>0</v>
      </c>
      <c r="BD14" s="38">
        <f t="shared" si="9"/>
        <v>0</v>
      </c>
      <c r="BE14" s="38">
        <f t="shared" si="9"/>
        <v>0</v>
      </c>
      <c r="BF14" s="38">
        <f t="shared" si="9"/>
        <v>0</v>
      </c>
      <c r="BG14" s="38">
        <f t="shared" si="9"/>
        <v>0</v>
      </c>
      <c r="BH14" s="38">
        <f t="shared" si="9"/>
        <v>0</v>
      </c>
      <c r="BI14" s="38">
        <f t="shared" si="9"/>
        <v>0</v>
      </c>
      <c r="BJ14" s="38">
        <f t="shared" si="9"/>
        <v>0</v>
      </c>
      <c r="BK14" s="38">
        <f t="shared" si="9"/>
        <v>0</v>
      </c>
      <c r="BL14" s="38">
        <f t="shared" si="9"/>
        <v>0</v>
      </c>
      <c r="BM14" s="38">
        <f t="shared" si="9"/>
        <v>0</v>
      </c>
      <c r="BN14" s="38">
        <f t="shared" si="9"/>
        <v>0</v>
      </c>
      <c r="BO14" s="48">
        <f t="shared" si="9"/>
        <v>0</v>
      </c>
      <c r="CM14" s="3"/>
    </row>
    <row r="15" spans="1:91" x14ac:dyDescent="0.25">
      <c r="A15" s="31" t="s">
        <v>115</v>
      </c>
      <c r="B15" s="32">
        <f t="shared" si="3"/>
        <v>6280</v>
      </c>
      <c r="C15" s="33">
        <f>SUM(D15:W15)</f>
        <v>6280</v>
      </c>
      <c r="D15" s="41">
        <f t="shared" ref="D15:W15" si="10">IF(AND(D$13=$C$2,$C$37="Yes"),C$41*SUM($C$38:$C$39),0)</f>
        <v>6280</v>
      </c>
      <c r="E15" s="41">
        <f t="shared" si="10"/>
        <v>0</v>
      </c>
      <c r="F15" s="41">
        <f t="shared" si="10"/>
        <v>0</v>
      </c>
      <c r="G15" s="41">
        <f t="shared" si="10"/>
        <v>0</v>
      </c>
      <c r="H15" s="41">
        <f t="shared" si="10"/>
        <v>0</v>
      </c>
      <c r="I15" s="41">
        <f t="shared" si="10"/>
        <v>0</v>
      </c>
      <c r="J15" s="41">
        <f t="shared" si="10"/>
        <v>0</v>
      </c>
      <c r="K15" s="41">
        <f t="shared" si="10"/>
        <v>0</v>
      </c>
      <c r="L15" s="41">
        <f t="shared" si="10"/>
        <v>0</v>
      </c>
      <c r="M15" s="41">
        <f t="shared" si="10"/>
        <v>0</v>
      </c>
      <c r="N15" s="41">
        <f t="shared" si="10"/>
        <v>0</v>
      </c>
      <c r="O15" s="41">
        <f t="shared" si="10"/>
        <v>0</v>
      </c>
      <c r="P15" s="41">
        <f t="shared" si="10"/>
        <v>0</v>
      </c>
      <c r="Q15" s="41">
        <f t="shared" si="10"/>
        <v>0</v>
      </c>
      <c r="R15" s="41">
        <f t="shared" si="10"/>
        <v>0</v>
      </c>
      <c r="S15" s="41">
        <f t="shared" si="10"/>
        <v>0</v>
      </c>
      <c r="T15" s="41">
        <f t="shared" si="10"/>
        <v>0</v>
      </c>
      <c r="U15" s="41">
        <f t="shared" si="10"/>
        <v>0</v>
      </c>
      <c r="V15" s="41">
        <f t="shared" si="10"/>
        <v>0</v>
      </c>
      <c r="W15" s="41">
        <f t="shared" si="10"/>
        <v>0</v>
      </c>
      <c r="X15" s="32">
        <f t="shared" si="5"/>
        <v>12192.903359999998</v>
      </c>
      <c r="Y15" s="33">
        <f t="shared" si="6"/>
        <v>12192.903359999998</v>
      </c>
      <c r="Z15" s="41">
        <f t="shared" ref="Z15:AS15" si="11">IF(AND(Z$13=$C$2,$C$37="Yes"),Y$41*SUM($C$38:$C$39),0)</f>
        <v>12192.903359999998</v>
      </c>
      <c r="AA15" s="41">
        <f t="shared" si="11"/>
        <v>0</v>
      </c>
      <c r="AB15" s="41">
        <f t="shared" si="11"/>
        <v>0</v>
      </c>
      <c r="AC15" s="41">
        <f t="shared" si="11"/>
        <v>0</v>
      </c>
      <c r="AD15" s="41">
        <f t="shared" si="11"/>
        <v>0</v>
      </c>
      <c r="AE15" s="41">
        <f t="shared" si="11"/>
        <v>0</v>
      </c>
      <c r="AF15" s="41">
        <f t="shared" si="11"/>
        <v>0</v>
      </c>
      <c r="AG15" s="41">
        <f t="shared" si="11"/>
        <v>0</v>
      </c>
      <c r="AH15" s="41">
        <f t="shared" si="11"/>
        <v>0</v>
      </c>
      <c r="AI15" s="41">
        <f t="shared" si="11"/>
        <v>0</v>
      </c>
      <c r="AJ15" s="41">
        <f t="shared" si="11"/>
        <v>0</v>
      </c>
      <c r="AK15" s="41">
        <f t="shared" si="11"/>
        <v>0</v>
      </c>
      <c r="AL15" s="41">
        <f t="shared" si="11"/>
        <v>0</v>
      </c>
      <c r="AM15" s="41">
        <f t="shared" si="11"/>
        <v>0</v>
      </c>
      <c r="AN15" s="41">
        <f t="shared" si="11"/>
        <v>0</v>
      </c>
      <c r="AO15" s="41">
        <f t="shared" si="11"/>
        <v>0</v>
      </c>
      <c r="AP15" s="41">
        <f t="shared" si="11"/>
        <v>0</v>
      </c>
      <c r="AQ15" s="41">
        <f t="shared" si="11"/>
        <v>0</v>
      </c>
      <c r="AR15" s="41">
        <f t="shared" si="11"/>
        <v>0</v>
      </c>
      <c r="AS15" s="41">
        <f t="shared" si="11"/>
        <v>0</v>
      </c>
      <c r="AT15" s="32">
        <f t="shared" si="8"/>
        <v>23431.32</v>
      </c>
      <c r="AU15" s="33">
        <f>SUM(AV15:BO15)</f>
        <v>23431.32</v>
      </c>
      <c r="AV15" s="51">
        <f t="shared" ref="AV15:BO15" si="12">IF(AND(AV$13=$C$2,$C$37="Yes"),AU$41*SUM($C$38:$C$39),0)</f>
        <v>23431.32</v>
      </c>
      <c r="AW15" s="41">
        <f t="shared" si="12"/>
        <v>0</v>
      </c>
      <c r="AX15" s="41">
        <f t="shared" si="12"/>
        <v>0</v>
      </c>
      <c r="AY15" s="41">
        <f t="shared" si="12"/>
        <v>0</v>
      </c>
      <c r="AZ15" s="41">
        <f t="shared" si="12"/>
        <v>0</v>
      </c>
      <c r="BA15" s="41">
        <f t="shared" si="12"/>
        <v>0</v>
      </c>
      <c r="BB15" s="41">
        <f t="shared" si="12"/>
        <v>0</v>
      </c>
      <c r="BC15" s="41">
        <f t="shared" si="12"/>
        <v>0</v>
      </c>
      <c r="BD15" s="41">
        <f t="shared" si="12"/>
        <v>0</v>
      </c>
      <c r="BE15" s="41">
        <f t="shared" si="12"/>
        <v>0</v>
      </c>
      <c r="BF15" s="41">
        <f t="shared" si="12"/>
        <v>0</v>
      </c>
      <c r="BG15" s="41">
        <f t="shared" si="12"/>
        <v>0</v>
      </c>
      <c r="BH15" s="41">
        <f t="shared" si="12"/>
        <v>0</v>
      </c>
      <c r="BI15" s="41">
        <f t="shared" si="12"/>
        <v>0</v>
      </c>
      <c r="BJ15" s="41">
        <f t="shared" si="12"/>
        <v>0</v>
      </c>
      <c r="BK15" s="41">
        <f t="shared" si="12"/>
        <v>0</v>
      </c>
      <c r="BL15" s="41">
        <f t="shared" si="12"/>
        <v>0</v>
      </c>
      <c r="BM15" s="41">
        <f t="shared" si="12"/>
        <v>0</v>
      </c>
      <c r="BN15" s="41">
        <f t="shared" si="12"/>
        <v>0</v>
      </c>
      <c r="BO15" s="52">
        <f t="shared" si="12"/>
        <v>0</v>
      </c>
      <c r="CM15" s="3"/>
    </row>
    <row r="16" spans="1:91" x14ac:dyDescent="0.25">
      <c r="A16" s="31" t="s">
        <v>116</v>
      </c>
      <c r="B16" s="32">
        <f t="shared" si="3"/>
        <v>11053.577084650937</v>
      </c>
      <c r="C16" s="33">
        <f>SUM(D16:W16)</f>
        <v>12157.608265345243</v>
      </c>
      <c r="D16" s="41">
        <f t="shared" ref="D16:W16" si="13">IF($C$33="Purchase",0,IF(AND(D$13&gt;=$C$2,D$13&lt;($C$2+$C$35)),-PMT($C$34,$C$35,$C$41)-$C$41/$C$35,0))</f>
        <v>2431.5216530690486</v>
      </c>
      <c r="E16" s="41">
        <f t="shared" si="13"/>
        <v>2431.5216530690486</v>
      </c>
      <c r="F16" s="41">
        <f t="shared" si="13"/>
        <v>2431.5216530690486</v>
      </c>
      <c r="G16" s="41">
        <f t="shared" si="13"/>
        <v>2431.5216530690486</v>
      </c>
      <c r="H16" s="41">
        <f t="shared" si="13"/>
        <v>2431.5216530690486</v>
      </c>
      <c r="I16" s="41">
        <f t="shared" si="13"/>
        <v>0</v>
      </c>
      <c r="J16" s="41">
        <f t="shared" si="13"/>
        <v>0</v>
      </c>
      <c r="K16" s="41">
        <f t="shared" si="13"/>
        <v>0</v>
      </c>
      <c r="L16" s="41">
        <f t="shared" si="13"/>
        <v>0</v>
      </c>
      <c r="M16" s="41">
        <f t="shared" si="13"/>
        <v>0</v>
      </c>
      <c r="N16" s="41">
        <f t="shared" si="13"/>
        <v>0</v>
      </c>
      <c r="O16" s="41">
        <f t="shared" si="13"/>
        <v>0</v>
      </c>
      <c r="P16" s="41">
        <f t="shared" si="13"/>
        <v>0</v>
      </c>
      <c r="Q16" s="41">
        <f t="shared" si="13"/>
        <v>0</v>
      </c>
      <c r="R16" s="41">
        <f t="shared" si="13"/>
        <v>0</v>
      </c>
      <c r="S16" s="41">
        <f t="shared" si="13"/>
        <v>0</v>
      </c>
      <c r="T16" s="41">
        <f t="shared" si="13"/>
        <v>0</v>
      </c>
      <c r="U16" s="41">
        <f t="shared" si="13"/>
        <v>0</v>
      </c>
      <c r="V16" s="41">
        <f t="shared" si="13"/>
        <v>0</v>
      </c>
      <c r="W16" s="41">
        <f t="shared" si="13"/>
        <v>0</v>
      </c>
      <c r="X16" s="32">
        <f t="shared" si="5"/>
        <v>21461.018658512636</v>
      </c>
      <c r="Y16" s="33">
        <f t="shared" si="6"/>
        <v>23604.54501084263</v>
      </c>
      <c r="Z16" s="41">
        <f t="shared" ref="Z16:AS16" si="14">IF($C$33="Purchase",0,IF(AND(Z$13&gt;=$C$2,Z$13&lt;($C$2+$C$35)),-PMT($C$34,$C$35,$Y$41)-$Y$41/$C$35,0))</f>
        <v>4720.9090021685261</v>
      </c>
      <c r="AA16" s="41">
        <f t="shared" si="14"/>
        <v>4720.9090021685261</v>
      </c>
      <c r="AB16" s="41">
        <f t="shared" si="14"/>
        <v>4720.9090021685261</v>
      </c>
      <c r="AC16" s="41">
        <f t="shared" si="14"/>
        <v>4720.9090021685261</v>
      </c>
      <c r="AD16" s="41">
        <f t="shared" si="14"/>
        <v>4720.9090021685261</v>
      </c>
      <c r="AE16" s="41">
        <f t="shared" si="14"/>
        <v>0</v>
      </c>
      <c r="AF16" s="41">
        <f t="shared" si="14"/>
        <v>0</v>
      </c>
      <c r="AG16" s="41">
        <f t="shared" si="14"/>
        <v>0</v>
      </c>
      <c r="AH16" s="41">
        <f t="shared" si="14"/>
        <v>0</v>
      </c>
      <c r="AI16" s="41">
        <f t="shared" si="14"/>
        <v>0</v>
      </c>
      <c r="AJ16" s="41">
        <f t="shared" si="14"/>
        <v>0</v>
      </c>
      <c r="AK16" s="41">
        <f t="shared" si="14"/>
        <v>0</v>
      </c>
      <c r="AL16" s="41">
        <f t="shared" si="14"/>
        <v>0</v>
      </c>
      <c r="AM16" s="41">
        <f t="shared" si="14"/>
        <v>0</v>
      </c>
      <c r="AN16" s="41">
        <f t="shared" si="14"/>
        <v>0</v>
      </c>
      <c r="AO16" s="41">
        <f t="shared" si="14"/>
        <v>0</v>
      </c>
      <c r="AP16" s="41">
        <f t="shared" si="14"/>
        <v>0</v>
      </c>
      <c r="AQ16" s="41">
        <f t="shared" si="14"/>
        <v>0</v>
      </c>
      <c r="AR16" s="41">
        <f t="shared" si="14"/>
        <v>0</v>
      </c>
      <c r="AS16" s="41">
        <f t="shared" si="14"/>
        <v>0</v>
      </c>
      <c r="AT16" s="32">
        <f t="shared" si="8"/>
        <v>41242.022582025966</v>
      </c>
      <c r="AU16" s="33">
        <f>SUM(AV16:BO16)</f>
        <v>45361.27542992821</v>
      </c>
      <c r="AV16" s="49">
        <f t="shared" ref="AV16:BO16" si="15">IF($C$33="Purchase",0,IF(AND(AV$13&gt;=$C$2,AV$13&lt;($C$2+$C$35)),-PMT($C$34,$C$35,$AU$41)-$AU$41/$C$35,0))</f>
        <v>9072.2550859856419</v>
      </c>
      <c r="AW16" s="44">
        <f t="shared" si="15"/>
        <v>9072.2550859856419</v>
      </c>
      <c r="AX16" s="44">
        <f t="shared" si="15"/>
        <v>9072.2550859856419</v>
      </c>
      <c r="AY16" s="44">
        <f t="shared" si="15"/>
        <v>9072.2550859856419</v>
      </c>
      <c r="AZ16" s="44">
        <f t="shared" si="15"/>
        <v>9072.2550859856419</v>
      </c>
      <c r="BA16" s="44">
        <f t="shared" si="15"/>
        <v>0</v>
      </c>
      <c r="BB16" s="44">
        <f t="shared" si="15"/>
        <v>0</v>
      </c>
      <c r="BC16" s="44">
        <f t="shared" si="15"/>
        <v>0</v>
      </c>
      <c r="BD16" s="44">
        <f t="shared" si="15"/>
        <v>0</v>
      </c>
      <c r="BE16" s="44">
        <f t="shared" si="15"/>
        <v>0</v>
      </c>
      <c r="BF16" s="44">
        <f t="shared" si="15"/>
        <v>0</v>
      </c>
      <c r="BG16" s="44">
        <f t="shared" si="15"/>
        <v>0</v>
      </c>
      <c r="BH16" s="44">
        <f t="shared" si="15"/>
        <v>0</v>
      </c>
      <c r="BI16" s="44">
        <f t="shared" si="15"/>
        <v>0</v>
      </c>
      <c r="BJ16" s="44">
        <f t="shared" si="15"/>
        <v>0</v>
      </c>
      <c r="BK16" s="44">
        <f t="shared" si="15"/>
        <v>0</v>
      </c>
      <c r="BL16" s="44">
        <f t="shared" si="15"/>
        <v>0</v>
      </c>
      <c r="BM16" s="44">
        <f t="shared" si="15"/>
        <v>0</v>
      </c>
      <c r="BN16" s="44">
        <f t="shared" si="15"/>
        <v>0</v>
      </c>
      <c r="BO16" s="50">
        <f t="shared" si="15"/>
        <v>0</v>
      </c>
      <c r="CM16" s="3"/>
    </row>
    <row r="17" spans="1:91" x14ac:dyDescent="0.25">
      <c r="A17" s="63" t="s">
        <v>120</v>
      </c>
      <c r="B17" s="36">
        <f t="shared" si="3"/>
        <v>0</v>
      </c>
      <c r="C17" s="37">
        <f>SUM(D17:W17)</f>
        <v>0</v>
      </c>
      <c r="D17" s="38">
        <f t="shared" ref="D17:W17" si="16">IF($C$9="YES",IF(AND(D$13&lt;$C$5+$C$2,MOD(D$13+1-$C$2,$C$10)=0),$C$41*VLOOKUP("Diesel Rebuild",FixedTab,2,FALSE),0),0)</f>
        <v>0</v>
      </c>
      <c r="E17" s="38">
        <f t="shared" si="16"/>
        <v>0</v>
      </c>
      <c r="F17" s="38">
        <f t="shared" si="16"/>
        <v>0</v>
      </c>
      <c r="G17" s="38">
        <f t="shared" si="16"/>
        <v>0</v>
      </c>
      <c r="H17" s="38">
        <f t="shared" si="16"/>
        <v>0</v>
      </c>
      <c r="I17" s="38">
        <f t="shared" si="16"/>
        <v>0</v>
      </c>
      <c r="J17" s="38">
        <f t="shared" si="16"/>
        <v>0</v>
      </c>
      <c r="K17" s="38">
        <f t="shared" si="16"/>
        <v>0</v>
      </c>
      <c r="L17" s="38">
        <f t="shared" si="16"/>
        <v>0</v>
      </c>
      <c r="M17" s="38">
        <f t="shared" si="16"/>
        <v>0</v>
      </c>
      <c r="N17" s="38">
        <f t="shared" si="16"/>
        <v>0</v>
      </c>
      <c r="O17" s="38">
        <f t="shared" si="16"/>
        <v>0</v>
      </c>
      <c r="P17" s="38">
        <f t="shared" si="16"/>
        <v>0</v>
      </c>
      <c r="Q17" s="38">
        <f t="shared" si="16"/>
        <v>0</v>
      </c>
      <c r="R17" s="38">
        <f t="shared" si="16"/>
        <v>0</v>
      </c>
      <c r="S17" s="38">
        <f t="shared" si="16"/>
        <v>0</v>
      </c>
      <c r="T17" s="38">
        <f t="shared" si="16"/>
        <v>0</v>
      </c>
      <c r="U17" s="38">
        <f t="shared" si="16"/>
        <v>0</v>
      </c>
      <c r="V17" s="38">
        <f t="shared" si="16"/>
        <v>0</v>
      </c>
      <c r="W17" s="38">
        <f t="shared" si="16"/>
        <v>0</v>
      </c>
      <c r="X17" s="36">
        <f t="shared" si="5"/>
        <v>0</v>
      </c>
      <c r="Y17" s="37">
        <f t="shared" si="6"/>
        <v>0</v>
      </c>
      <c r="Z17" s="38">
        <f>IF($Y$9="YES",IF(AND(Z$13&lt;$C$5+$C$2,MOD(Z$13+1-$C$2,$Y$10)=0),$Y$33*(VLOOKUP($Y$5,kWhTab,MATCH(Z$13,Input!$A$35:$Q$35,1),FALSE)),0),0)</f>
        <v>0</v>
      </c>
      <c r="AA17" s="38">
        <f>IF($Y$9="YES",IF(AND(AA$13&lt;$C$5+$C$2,MOD(AA$13+1-$C$2,$Y$10)=0),$Y$33*(VLOOKUP($Y$5,kWhTab,MATCH(AA$13,Input!$A$35:$Q$35,1),FALSE)),0),0)</f>
        <v>0</v>
      </c>
      <c r="AB17" s="38">
        <f>IF($Y$9="YES",IF(AND(AB$13&lt;$C$5+$C$2,MOD(AB$13+1-$C$2,$Y$10)=0),$Y$33*(VLOOKUP($Y$5,kWhTab,MATCH(AB$13,Input!$A$35:$Q$35,1),FALSE)),0),0)</f>
        <v>0</v>
      </c>
      <c r="AC17" s="38">
        <f>IF($Y$9="YES",IF(AND(AC$13&lt;$C$5+$C$2,MOD(AC$13+1-$C$2,$Y$10)=0),$Y$33*(VLOOKUP($Y$5,kWhTab,MATCH(AC$13,Input!$A$35:$Q$35,1),FALSE)),0),0)</f>
        <v>0</v>
      </c>
      <c r="AD17" s="38">
        <f>IF($Y$9="YES",IF(AND(AD$13&lt;$C$5+$C$2,MOD(AD$13+1-$C$2,$Y$10)=0),$Y$33*(VLOOKUP($Y$5,kWhTab,MATCH(AD$13,Input!$A$35:$Q$35,1),FALSE)),0),0)</f>
        <v>0</v>
      </c>
      <c r="AE17" s="38">
        <f>IF($Y$9="YES",IF(AND(AE$13&lt;$C$5+$C$2,MOD(AE$13+1-$C$2,$Y$10)=0),$Y$33*(VLOOKUP($Y$5,kWhTab,MATCH(AE$13,Input!$A$35:$Q$35,1),FALSE)),0),0)</f>
        <v>0</v>
      </c>
      <c r="AF17" s="38">
        <f>IF($Y$9="YES",IF(AND(AF$13&lt;$C$5+$C$2,MOD(AF$13+1-$C$2,$Y$10)=0),$Y$33*(VLOOKUP($Y$5,kWhTab,MATCH(AF$13,Input!$A$35:$Q$35,1),FALSE)),0),0)</f>
        <v>0</v>
      </c>
      <c r="AG17" s="38">
        <f>IF($Y$9="YES",IF(AND(AG$13&lt;$C$5+$C$2,MOD(AG$13+1-$C$2,$Y$10)=0),$Y$33*(VLOOKUP($Y$5,kWhTab,MATCH(AG$13,Input!$A$35:$Q$35,1),FALSE)),0),0)</f>
        <v>0</v>
      </c>
      <c r="AH17" s="38">
        <f>IF($Y$9="YES",IF(AND(AH$13&lt;$C$5+$C$2,MOD(AH$13+1-$C$2,$Y$10)=0),$Y$33*(VLOOKUP($Y$5,kWhTab,MATCH(AH$13,Input!$A$35:$Q$35,1),FALSE)),0),0)</f>
        <v>0</v>
      </c>
      <c r="AI17" s="38">
        <f>IF($Y$9="YES",IF(AND(AI$13&lt;$C$5+$C$2,MOD(AI$13+1-$C$2,$Y$10)=0),$Y$33*(VLOOKUP($Y$5,kWhTab,MATCH(AI$13,Input!$A$35:$Q$35,1),FALSE)),0),0)</f>
        <v>0</v>
      </c>
      <c r="AJ17" s="38">
        <f>IF($Y$9="YES",IF(AND(AJ$13&lt;$C$5+$C$2,MOD(AJ$13+1-$C$2,$Y$10)=0),$Y$33*(VLOOKUP($Y$5,kWhTab,MATCH(AJ$13,Input!$A$35:$Q$35,1),FALSE)),0),0)</f>
        <v>0</v>
      </c>
      <c r="AK17" s="38">
        <f>IF($Y$9="YES",IF(AND(AK$13&lt;$C$5+$C$2,MOD(AK$13+1-$C$2,$Y$10)=0),$Y$33*(VLOOKUP($Y$5,kWhTab,MATCH(AK$13,Input!$A$35:$Q$35,1),FALSE)),0),0)</f>
        <v>0</v>
      </c>
      <c r="AL17" s="38">
        <f>IF($Y$9="YES",IF(AND(AL$13&lt;$C$5+$C$2,MOD(AL$13+1-$C$2,$Y$10)=0),$Y$33*(VLOOKUP($Y$5,kWhTab,MATCH(AL$13,Input!$A$35:$Q$35,1),FALSE)),0),0)</f>
        <v>0</v>
      </c>
      <c r="AM17" s="38">
        <f>IF($Y$9="YES",IF(AND(AM$13&lt;$C$5+$C$2,MOD(AM$13+1-$C$2,$Y$10)=0),$Y$33*(VLOOKUP($Y$5,kWhTab,MATCH(AM$13,Input!$A$35:$Q$35,1),FALSE)),0),0)</f>
        <v>0</v>
      </c>
      <c r="AN17" s="38">
        <f>IF($Y$9="YES",IF(AND(AN$13&lt;$C$5+$C$2,MOD(AN$13+1-$C$2,$Y$10)=0),$Y$33*(VLOOKUP($Y$5,kWhTab,MATCH(AN$13,Input!$A$35:$Q$35,1),FALSE)),0),0)</f>
        <v>0</v>
      </c>
      <c r="AO17" s="38">
        <f>IF($Y$9="YES",IF(AND(AO$13&lt;$C$5+$C$2,MOD(AO$13+1-$C$2,$Y$10)=0),$Y$33*(VLOOKUP($Y$5,kWhTab,MATCH(AO$13,Input!$A$35:$Q$35,1),FALSE)),0),0)</f>
        <v>0</v>
      </c>
      <c r="AP17" s="38">
        <f>IF($Y$9="YES",IF(AND(AP$13&lt;$C$5+$C$2,MOD(AP$13+1-$C$2,$Y$10)=0),$Y$33*(VLOOKUP($Y$5,kWhTab,MATCH(AP$13,Input!$A$35:$Q$35,1),FALSE)),0),0)</f>
        <v>0</v>
      </c>
      <c r="AQ17" s="38">
        <f>IF($Y$9="YES",IF(AND(AQ$13&lt;$C$5+$C$2,MOD(AQ$13+1-$C$2,$Y$10)=0),$Y$33*(VLOOKUP($Y$5,kWhTab,MATCH(AQ$13,Input!$A$35:$Q$35,1),FALSE)),0),0)</f>
        <v>0</v>
      </c>
      <c r="AR17" s="38">
        <f>IF($Y$9="YES",IF(AND(AR$13&lt;$C$5+$C$2,MOD(AR$13+1-$C$2,$Y$10)=0),$Y$33*(VLOOKUP($Y$5,kWhTab,MATCH(AR$13,Input!$A$35:$Q$35,1),FALSE)),0),0)</f>
        <v>0</v>
      </c>
      <c r="AS17" s="38">
        <f>IF($Y$9="YES",IF(AND(AS$13&lt;$C$5+$C$2,MOD(AS$13+1-$C$2,$Y$10)=0),$Y$33*(VLOOKUP($Y$5,kWhTab,MATCH(AS$13,Input!$A$35:$Q$35,1),FALSE)),0),0)</f>
        <v>0</v>
      </c>
      <c r="AT17" s="36">
        <f t="shared" si="8"/>
        <v>31914.140083355283</v>
      </c>
      <c r="AU17" s="37">
        <f>SUM(AV17:BO17)</f>
        <v>44906.400000000001</v>
      </c>
      <c r="AV17" s="47">
        <f t="shared" ref="AV17:BO17" si="17">IF($AU$9="YES",IF(AND(AV$13&lt;$C$5+$C$2,MOD(AV$13+1-$C$2,$AU$10)=0),$AU$37*$AU$46*VLOOKUP("FC Stack Refurb",FixedTab,2,FALSE),0),0)</f>
        <v>0</v>
      </c>
      <c r="AW17" s="38">
        <f t="shared" si="17"/>
        <v>0</v>
      </c>
      <c r="AX17" s="38">
        <f t="shared" si="17"/>
        <v>0</v>
      </c>
      <c r="AY17" s="38">
        <f t="shared" si="17"/>
        <v>0</v>
      </c>
      <c r="AZ17" s="38">
        <f t="shared" si="17"/>
        <v>0</v>
      </c>
      <c r="BA17" s="38">
        <f t="shared" si="17"/>
        <v>0</v>
      </c>
      <c r="BB17" s="38">
        <f t="shared" si="17"/>
        <v>0</v>
      </c>
      <c r="BC17" s="38">
        <f t="shared" si="17"/>
        <v>44906.400000000001</v>
      </c>
      <c r="BD17" s="38">
        <f t="shared" si="17"/>
        <v>0</v>
      </c>
      <c r="BE17" s="38">
        <f t="shared" si="17"/>
        <v>0</v>
      </c>
      <c r="BF17" s="38">
        <f t="shared" si="17"/>
        <v>0</v>
      </c>
      <c r="BG17" s="38">
        <f t="shared" si="17"/>
        <v>0</v>
      </c>
      <c r="BH17" s="38">
        <f t="shared" si="17"/>
        <v>0</v>
      </c>
      <c r="BI17" s="38">
        <f t="shared" si="17"/>
        <v>0</v>
      </c>
      <c r="BJ17" s="38">
        <f t="shared" si="17"/>
        <v>0</v>
      </c>
      <c r="BK17" s="38">
        <f t="shared" si="17"/>
        <v>0</v>
      </c>
      <c r="BL17" s="38">
        <f t="shared" si="17"/>
        <v>0</v>
      </c>
      <c r="BM17" s="38">
        <f t="shared" si="17"/>
        <v>0</v>
      </c>
      <c r="BN17" s="38">
        <f t="shared" si="17"/>
        <v>0</v>
      </c>
      <c r="BO17" s="48">
        <f t="shared" si="17"/>
        <v>0</v>
      </c>
      <c r="BP17" s="31"/>
      <c r="CM17" s="3"/>
    </row>
    <row r="18" spans="1:91" x14ac:dyDescent="0.25">
      <c r="A18" s="64" t="s">
        <v>21</v>
      </c>
      <c r="B18" s="42">
        <f t="shared" si="3"/>
        <v>-10477.228361179705</v>
      </c>
      <c r="C18" s="43">
        <f>SUM(D18:W18)</f>
        <v>-18815.596831603045</v>
      </c>
      <c r="D18" s="44">
        <f>IF($C$2+$C$5=D$13,-$C$41*VLOOKUP($C$27,ResTab,MATCH(D$12,Input!$A$130:$U$130,0),FALSE),0)</f>
        <v>0</v>
      </c>
      <c r="E18" s="44">
        <f>IF($C$2+$C$5=E$13,-$C$41*VLOOKUP($C$27,ResTab,MATCH(E$12,Input!$A$130:$U$130,0),FALSE),0)</f>
        <v>0</v>
      </c>
      <c r="F18" s="44">
        <f>IF($C$2+$C$5=F$13,-$C$41*VLOOKUP($C$27,ResTab,MATCH(F$12,Input!$A$130:$U$130,0),FALSE),0)</f>
        <v>0</v>
      </c>
      <c r="G18" s="44">
        <f>IF($C$2+$C$5=G$13,-$C$41*VLOOKUP($C$27,ResTab,MATCH(G$12,Input!$A$130:$U$130,0),FALSE),0)</f>
        <v>0</v>
      </c>
      <c r="H18" s="44">
        <f>IF($C$2+$C$5=H$13,-$C$41*VLOOKUP($C$27,ResTab,MATCH(H$12,Input!$A$130:$U$130,0),FALSE),0)</f>
        <v>0</v>
      </c>
      <c r="I18" s="44">
        <f>IF($C$2+$C$5=I$13,-$C$41*VLOOKUP($C$27,ResTab,MATCH(I$12,Input!$A$130:$U$130,0),FALSE),0)</f>
        <v>0</v>
      </c>
      <c r="J18" s="44">
        <f>IF($C$2+$C$5=J$13,-$C$41*VLOOKUP($C$27,ResTab,MATCH(J$12,Input!$A$130:$U$130,0),FALSE),0)</f>
        <v>0</v>
      </c>
      <c r="K18" s="44">
        <f>IF($C$2+$C$5=K$13,-$C$41*VLOOKUP($C$27,ResTab,MATCH(K$12,Input!$A$130:$U$130,0),FALSE),0)</f>
        <v>0</v>
      </c>
      <c r="L18" s="44">
        <f>IF($C$2+$C$5=L$13,-$C$41*VLOOKUP($C$27,ResTab,MATCH(L$12,Input!$A$130:$U$130,0),FALSE),0)</f>
        <v>0</v>
      </c>
      <c r="M18" s="44">
        <f>IF($C$2+$C$5=M$13,-$C$41*VLOOKUP($C$27,ResTab,MATCH(M$12,Input!$A$130:$U$130,0),FALSE),0)</f>
        <v>0</v>
      </c>
      <c r="N18" s="44">
        <f>IF($C$2+$C$5=N$13,-$C$41*VLOOKUP($C$27,ResTab,MATCH(N$12,Input!$A$130:$U$130,0),FALSE),0)</f>
        <v>0</v>
      </c>
      <c r="O18" s="44">
        <f>IF($C$2+$C$5=O$13,-$C$41*VLOOKUP($C$27,ResTab,MATCH(O$12,Input!$A$130:$U$130,0),FALSE),0)</f>
        <v>0</v>
      </c>
      <c r="P18" s="44">
        <f>IF($C$2+$C$5=P$13,-$C$41*VLOOKUP($C$27,ResTab,MATCH(P$12,Input!$A$130:$U$130,0),FALSE),0)</f>
        <v>-18815.596831603045</v>
      </c>
      <c r="Q18" s="44">
        <f>IF($C$2+$C$5=Q$13,-$C$41*VLOOKUP($C$27,ResTab,MATCH(Q$12,Input!$A$130:$U$130,0),FALSE),0)</f>
        <v>0</v>
      </c>
      <c r="R18" s="44">
        <f>IF($C$2+$C$5=R$13,-$C$41*VLOOKUP($C$27,ResTab,MATCH(R$12,Input!$A$130:$U$130,0),FALSE),0)</f>
        <v>0</v>
      </c>
      <c r="S18" s="44">
        <f>IF($C$2+$C$5=S$13,-$C$41*VLOOKUP($C$27,ResTab,MATCH(S$12,Input!$A$130:$U$130,0),FALSE),0)</f>
        <v>0</v>
      </c>
      <c r="T18" s="44">
        <f>IF($C$2+$C$5=T$13,-$C$41*VLOOKUP($C$27,ResTab,MATCH(T$12,Input!$A$130:$U$130,0),FALSE),0)</f>
        <v>0</v>
      </c>
      <c r="U18" s="44">
        <f>IF($C$2+$C$5=U$13,-$C$41*VLOOKUP($C$27,ResTab,MATCH(U$12,Input!$A$130:$U$130,0),FALSE),0)</f>
        <v>0</v>
      </c>
      <c r="V18" s="44">
        <f>IF($C$2+$C$5=V$13,-$C$41*VLOOKUP($C$27,ResTab,MATCH(V$12,Input!$A$130:$U$130,0),FALSE),0)</f>
        <v>0</v>
      </c>
      <c r="W18" s="44">
        <f>IF($C$2+$C$5=W$13,-$C$41*VLOOKUP($C$27,ResTab,MATCH(W$12,Input!$A$130:$U$130,0),FALSE),0)</f>
        <v>0</v>
      </c>
      <c r="X18" s="42">
        <f t="shared" si="5"/>
        <v>-5238.6141805898524</v>
      </c>
      <c r="Y18" s="43">
        <f t="shared" si="6"/>
        <v>-9407.7984158015224</v>
      </c>
      <c r="Z18" s="44">
        <f>IF($Z$13+$C$5=Z$13,-$C$41*VLOOKUP($Y$27,ResTab,MATCH(Z$12,Input!$A$130:$U$130,0),FALSE)*VLOOKUP("BEV Residual Ratio",FixedTab,2,FALSE),0)</f>
        <v>0</v>
      </c>
      <c r="AA18" s="44">
        <f>IF($Z$13+$C$5=AA$13,-$C$41*VLOOKUP($Y$27,ResTab,MATCH(AA$12,Input!$A$130:$U$130,0),FALSE)*VLOOKUP("BEV Residual Ratio",FixedTab,2,FALSE),0)</f>
        <v>0</v>
      </c>
      <c r="AB18" s="44">
        <f>IF($Z$13+$C$5=AB$13,-$C$41*VLOOKUP($Y$27,ResTab,MATCH(AB$12,Input!$A$130:$U$130,0),FALSE)*VLOOKUP("BEV Residual Ratio",FixedTab,2,FALSE),0)</f>
        <v>0</v>
      </c>
      <c r="AC18" s="44">
        <f>IF($Z$13+$C$5=AC$13,-$C$41*VLOOKUP($Y$27,ResTab,MATCH(AC$12,Input!$A$130:$U$130,0),FALSE)*VLOOKUP("BEV Residual Ratio",FixedTab,2,FALSE),0)</f>
        <v>0</v>
      </c>
      <c r="AD18" s="44">
        <f>IF($Z$13+$C$5=AD$13,-$C$41*VLOOKUP($Y$27,ResTab,MATCH(AD$12,Input!$A$130:$U$130,0),FALSE)*VLOOKUP("BEV Residual Ratio",FixedTab,2,FALSE),0)</f>
        <v>0</v>
      </c>
      <c r="AE18" s="44">
        <f>IF($Z$13+$C$5=AE$13,-$C$41*VLOOKUP($Y$27,ResTab,MATCH(AE$12,Input!$A$130:$U$130,0),FALSE)*VLOOKUP("BEV Residual Ratio",FixedTab,2,FALSE),0)</f>
        <v>0</v>
      </c>
      <c r="AF18" s="44">
        <f>IF($Z$13+$C$5=AF$13,-$C$41*VLOOKUP($Y$27,ResTab,MATCH(AF$12,Input!$A$130:$U$130,0),FALSE)*VLOOKUP("BEV Residual Ratio",FixedTab,2,FALSE),0)</f>
        <v>0</v>
      </c>
      <c r="AG18" s="44">
        <f>IF($Z$13+$C$5=AG$13,-$C$41*VLOOKUP($Y$27,ResTab,MATCH(AG$12,Input!$A$130:$U$130,0),FALSE)*VLOOKUP("BEV Residual Ratio",FixedTab,2,FALSE),0)</f>
        <v>0</v>
      </c>
      <c r="AH18" s="44">
        <f>IF($Z$13+$C$5=AH$13,-$C$41*VLOOKUP($Y$27,ResTab,MATCH(AH$12,Input!$A$130:$U$130,0),FALSE)*VLOOKUP("BEV Residual Ratio",FixedTab,2,FALSE),0)</f>
        <v>0</v>
      </c>
      <c r="AI18" s="44">
        <f>IF($Z$13+$C$5=AI$13,-$C$41*VLOOKUP($Y$27,ResTab,MATCH(AI$12,Input!$A$130:$U$130,0),FALSE)*VLOOKUP("BEV Residual Ratio",FixedTab,2,FALSE),0)</f>
        <v>0</v>
      </c>
      <c r="AJ18" s="44">
        <f>IF($Z$13+$C$5=AJ$13,-$C$41*VLOOKUP($Y$27,ResTab,MATCH(AJ$12,Input!$A$130:$U$130,0),FALSE)*VLOOKUP("BEV Residual Ratio",FixedTab,2,FALSE),0)</f>
        <v>0</v>
      </c>
      <c r="AK18" s="44">
        <f>IF($Z$13+$C$5=AK$13,-$C$41*VLOOKUP($Y$27,ResTab,MATCH(AK$12,Input!$A$130:$U$130,0),FALSE)*VLOOKUP("BEV Residual Ratio",FixedTab,2,FALSE),0)</f>
        <v>0</v>
      </c>
      <c r="AL18" s="44">
        <f>IF($Z$13+$C$5=AL$13,-$C$41*VLOOKUP($Y$27,ResTab,MATCH(AL$12,Input!$A$130:$U$130,0),FALSE)*VLOOKUP("BEV Residual Ratio",FixedTab,2,FALSE),0)</f>
        <v>-9407.7984158015224</v>
      </c>
      <c r="AM18" s="44">
        <f>IF($Z$13+$C$5=AM$13,-$C$41*VLOOKUP($Y$27,ResTab,MATCH(AM$12,Input!$A$130:$U$130,0),FALSE)*VLOOKUP("BEV Residual Ratio",FixedTab,2,FALSE),0)</f>
        <v>0</v>
      </c>
      <c r="AN18" s="44">
        <f>IF($Z$13+$C$5=AN$13,-$C$41*VLOOKUP($Y$27,ResTab,MATCH(AN$12,Input!$A$130:$U$130,0),FALSE)*VLOOKUP("BEV Residual Ratio",FixedTab,2,FALSE),0)</f>
        <v>0</v>
      </c>
      <c r="AO18" s="44">
        <f>IF($Z$13+$C$5=AO$13,-$C$41*VLOOKUP($Y$27,ResTab,MATCH(AO$12,Input!$A$130:$U$130,0),FALSE)*VLOOKUP("BEV Residual Ratio",FixedTab,2,FALSE),0)</f>
        <v>0</v>
      </c>
      <c r="AP18" s="44">
        <f>IF($Z$13+$C$5=AP$13,-$C$41*VLOOKUP($Y$27,ResTab,MATCH(AP$12,Input!$A$130:$U$130,0),FALSE)*VLOOKUP("BEV Residual Ratio",FixedTab,2,FALSE),0)</f>
        <v>0</v>
      </c>
      <c r="AQ18" s="44">
        <f>IF($Z$13+$C$5=AQ$13,-$C$41*VLOOKUP($Y$27,ResTab,MATCH(AQ$12,Input!$A$130:$U$130,0),FALSE)*VLOOKUP("BEV Residual Ratio",FixedTab,2,FALSE),0)</f>
        <v>0</v>
      </c>
      <c r="AR18" s="44">
        <f>IF($Z$13+$C$5=AR$13,-$C$41*VLOOKUP($Y$27,ResTab,MATCH(AR$12,Input!$A$130:$U$130,0),FALSE)*VLOOKUP("BEV Residual Ratio",FixedTab,2,FALSE),0)</f>
        <v>0</v>
      </c>
      <c r="AS18" s="44">
        <f>IF($Z$13+$C$5=AS$13,-$C$41*VLOOKUP($Y$27,ResTab,MATCH(AS$12,Input!$A$130:$U$130,0),FALSE)*VLOOKUP("BEV Residual Ratio",FixedTab,2,FALSE),0)</f>
        <v>0</v>
      </c>
      <c r="AT18" s="42">
        <f t="shared" si="8"/>
        <v>-2619.3070902949262</v>
      </c>
      <c r="AU18" s="43">
        <f>SUM(AV18:BO18)</f>
        <v>-4703.8992079007612</v>
      </c>
      <c r="AV18" s="49">
        <f>IF($Z$13+$C$5=AV$13,-$C$41*VLOOKUP($Y$27,ResTab,MATCH(AV$12,Input!$A$130:$U$130,0),FALSE)*VLOOKUP("FC Residual Ratio",FixedTab,2,FALSE),0)</f>
        <v>0</v>
      </c>
      <c r="AW18" s="44">
        <f>IF($Z$13+$C$5=AW$13,-$C$41*VLOOKUP($Y$27,ResTab,MATCH(AW$12,Input!$A$130:$U$130,0),FALSE)*VLOOKUP("FC Residual Ratio",FixedTab,2,FALSE),0)</f>
        <v>0</v>
      </c>
      <c r="AX18" s="44">
        <f>IF($Z$13+$C$5=AX$13,-$C$41*VLOOKUP($Y$27,ResTab,MATCH(AX$12,Input!$A$130:$U$130,0),FALSE)*VLOOKUP("FC Residual Ratio",FixedTab,2,FALSE),0)</f>
        <v>0</v>
      </c>
      <c r="AY18" s="44">
        <f>IF($Z$13+$C$5=AY$13,-$C$41*VLOOKUP($Y$27,ResTab,MATCH(AY$12,Input!$A$130:$U$130,0),FALSE)*VLOOKUP("FC Residual Ratio",FixedTab,2,FALSE),0)</f>
        <v>0</v>
      </c>
      <c r="AZ18" s="44">
        <f>IF($Z$13+$C$5=AZ$13,-$C$41*VLOOKUP($Y$27,ResTab,MATCH(AZ$12,Input!$A$130:$U$130,0),FALSE)*VLOOKUP("FC Residual Ratio",FixedTab,2,FALSE),0)</f>
        <v>0</v>
      </c>
      <c r="BA18" s="44">
        <f>IF($Z$13+$C$5=BA$13,-$C$41*VLOOKUP($Y$27,ResTab,MATCH(BA$12,Input!$A$130:$U$130,0),FALSE)*VLOOKUP("FC Residual Ratio",FixedTab,2,FALSE),0)</f>
        <v>0</v>
      </c>
      <c r="BB18" s="44">
        <f>IF($Z$13+$C$5=BB$13,-$C$41*VLOOKUP($Y$27,ResTab,MATCH(BB$12,Input!$A$130:$U$130,0),FALSE)*VLOOKUP("FC Residual Ratio",FixedTab,2,FALSE),0)</f>
        <v>0</v>
      </c>
      <c r="BC18" s="44">
        <f>IF($Z$13+$C$5=BC$13,-$C$41*VLOOKUP($Y$27,ResTab,MATCH(BC$12,Input!$A$130:$U$130,0),FALSE)*VLOOKUP("FC Residual Ratio",FixedTab,2,FALSE),0)</f>
        <v>0</v>
      </c>
      <c r="BD18" s="44">
        <f>IF($Z$13+$C$5=BD$13,-$C$41*VLOOKUP($Y$27,ResTab,MATCH(BD$12,Input!$A$130:$U$130,0),FALSE)*VLOOKUP("FC Residual Ratio",FixedTab,2,FALSE),0)</f>
        <v>0</v>
      </c>
      <c r="BE18" s="44">
        <f>IF($Z$13+$C$5=BE$13,-$C$41*VLOOKUP($Y$27,ResTab,MATCH(BE$12,Input!$A$130:$U$130,0),FALSE)*VLOOKUP("FC Residual Ratio",FixedTab,2,FALSE),0)</f>
        <v>0</v>
      </c>
      <c r="BF18" s="44">
        <f>IF($Z$13+$C$5=BF$13,-$C$41*VLOOKUP($Y$27,ResTab,MATCH(BF$12,Input!$A$130:$U$130,0),FALSE)*VLOOKUP("FC Residual Ratio",FixedTab,2,FALSE),0)</f>
        <v>0</v>
      </c>
      <c r="BG18" s="44">
        <f>IF($Z$13+$C$5=BG$13,-$C$41*VLOOKUP($Y$27,ResTab,MATCH(BG$12,Input!$A$130:$U$130,0),FALSE)*VLOOKUP("FC Residual Ratio",FixedTab,2,FALSE),0)</f>
        <v>0</v>
      </c>
      <c r="BH18" s="44">
        <f>IF($Z$13+$C$5=BH$13,-$C$41*VLOOKUP($Y$27,ResTab,MATCH(BH$12,Input!$A$130:$U$130,0),FALSE)*VLOOKUP("FC Residual Ratio",FixedTab,2,FALSE),0)</f>
        <v>-4703.8992079007612</v>
      </c>
      <c r="BI18" s="44">
        <f>IF($Z$13+$C$5=BI$13,-$C$41*VLOOKUP($Y$27,ResTab,MATCH(BI$12,Input!$A$130:$U$130,0),FALSE)*VLOOKUP("FC Residual Ratio",FixedTab,2,FALSE),0)</f>
        <v>0</v>
      </c>
      <c r="BJ18" s="44">
        <f>IF($Z$13+$C$5=BJ$13,-$C$41*VLOOKUP($Y$27,ResTab,MATCH(BJ$12,Input!$A$130:$U$130,0),FALSE)*VLOOKUP("FC Residual Ratio",FixedTab,2,FALSE),0)</f>
        <v>0</v>
      </c>
      <c r="BK18" s="44">
        <f>IF($Z$13+$C$5=BK$13,-$C$41*VLOOKUP($Y$27,ResTab,MATCH(BK$12,Input!$A$130:$U$130,0),FALSE)*VLOOKUP("FC Residual Ratio",FixedTab,2,FALSE),0)</f>
        <v>0</v>
      </c>
      <c r="BL18" s="44">
        <f>IF($Z$13+$C$5=BL$13,-$C$41*VLOOKUP($Y$27,ResTab,MATCH(BL$12,Input!$A$130:$U$130,0),FALSE)*VLOOKUP("FC Residual Ratio",FixedTab,2,FALSE),0)</f>
        <v>0</v>
      </c>
      <c r="BM18" s="44">
        <f>IF($Z$13+$C$5=BM$13,-$C$41*VLOOKUP($Y$27,ResTab,MATCH(BM$12,Input!$A$130:$U$130,0),FALSE)*VLOOKUP("FC Residual Ratio",FixedTab,2,FALSE),0)</f>
        <v>0</v>
      </c>
      <c r="BN18" s="44">
        <f>IF($Z$13+$C$5=BN$13,-$C$41*VLOOKUP($Y$27,ResTab,MATCH(BN$12,Input!$A$130:$U$130,0),FALSE)*VLOOKUP("FC Residual Ratio",FixedTab,2,FALSE),0)</f>
        <v>0</v>
      </c>
      <c r="BO18" s="50">
        <f>IF($Z$13+$C$5=BO$13,-$C$41*VLOOKUP($Y$27,ResTab,MATCH(BO$12,Input!$A$130:$U$130,0),FALSE)*VLOOKUP("FC Residual Ratio",FixedTab,2,FALSE),0)</f>
        <v>0</v>
      </c>
      <c r="BP18" s="31"/>
    </row>
    <row r="19" spans="1:91" x14ac:dyDescent="0.25">
      <c r="A19" s="63" t="s">
        <v>114</v>
      </c>
      <c r="B19" s="36">
        <f t="shared" si="3"/>
        <v>10670.388246588058</v>
      </c>
      <c r="C19" s="37">
        <f t="shared" ref="C19:C24" si="18">SUM(D19:W19)</f>
        <v>13463.987500000001</v>
      </c>
      <c r="D19" s="38">
        <f>IF(AND(D$13&gt;=$C$2,D$13&lt;($C$2+$C$5)),247+IF($C$41&gt;60000,175,150)+$C$41*0.0065*VLOOKUP("Registration",TimeTab,MATCH(D$12,Input!$A$127:$U$127,0),FALSE)+VLOOKUP($C$1, VehTab,6,FALSE),0)</f>
        <v>1379.25</v>
      </c>
      <c r="E19" s="38">
        <f>IF(AND(E$13&gt;=$C$2,E$13&lt;($C$2+$C$5)),247+IF($C$41&gt;60000,175,150)+$C$41*0.0065*VLOOKUP("Registration",TimeTab,MATCH(E$12,Input!$A$127:$U$127,0),FALSE)+VLOOKUP($C$1, VehTab,6,FALSE),0)</f>
        <v>1328.2249999999999</v>
      </c>
      <c r="F19" s="38">
        <f>IF(AND(F$13&gt;=$C$2,F$13&lt;($C$2+$C$5)),247+IF($C$41&gt;60000,175,150)+$C$41*0.0065*VLOOKUP("Registration",TimeTab,MATCH(F$12,Input!$A$127:$U$127,0),FALSE)+VLOOKUP($C$1, VehTab,6,FALSE),0)</f>
        <v>1277.2</v>
      </c>
      <c r="G19" s="38">
        <f>IF(AND(G$13&gt;=$C$2,G$13&lt;($C$2+$C$5)),247+IF($C$41&gt;60000,175,150)+$C$41*0.0065*VLOOKUP("Registration",TimeTab,MATCH(G$12,Input!$A$127:$U$127,0),FALSE)+VLOOKUP($C$1, VehTab,6,FALSE),0)</f>
        <v>1226.175</v>
      </c>
      <c r="H19" s="38">
        <f>IF(AND(H$13&gt;=$C$2,H$13&lt;($C$2+$C$5)),247+IF($C$41&gt;60000,175,150)+$C$41*0.0065*VLOOKUP("Registration",TimeTab,MATCH(H$12,Input!$A$127:$U$127,0),FALSE)+VLOOKUP($C$1, VehTab,6,FALSE),0)</f>
        <v>1175.1500000000001</v>
      </c>
      <c r="I19" s="38">
        <f>IF(AND(I$13&gt;=$C$2,I$13&lt;($C$2+$C$5)),247+IF($C$41&gt;60000,175,150)+$C$41*0.0065*VLOOKUP("Registration",TimeTab,MATCH(I$12,Input!$A$127:$U$127,0),FALSE)+VLOOKUP($C$1, VehTab,6,FALSE),0)</f>
        <v>1124.125</v>
      </c>
      <c r="J19" s="38">
        <f>IF(AND(J$13&gt;=$C$2,J$13&lt;($C$2+$C$5)),247+IF($C$41&gt;60000,175,150)+$C$41*0.0065*VLOOKUP("Registration",TimeTab,MATCH(J$12,Input!$A$127:$U$127,0),FALSE)+VLOOKUP($C$1, VehTab,6,FALSE),0)</f>
        <v>1073.0999999999999</v>
      </c>
      <c r="K19" s="38">
        <f>IF(AND(K$13&gt;=$C$2,K$13&lt;($C$2+$C$5)),247+IF($C$41&gt;60000,175,150)+$C$41*0.0065*VLOOKUP("Registration",TimeTab,MATCH(K$12,Input!$A$127:$U$127,0),FALSE)+VLOOKUP($C$1, VehTab,6,FALSE),0)</f>
        <v>1022.075</v>
      </c>
      <c r="L19" s="38">
        <f>IF(AND(L$13&gt;=$C$2,L$13&lt;($C$2+$C$5)),247+IF($C$41&gt;60000,175,150)+$C$41*0.0065*VLOOKUP("Registration",TimeTab,MATCH(L$12,Input!$A$127:$U$127,0),FALSE)+VLOOKUP($C$1, VehTab,6,FALSE),0)</f>
        <v>996.5625</v>
      </c>
      <c r="M19" s="38">
        <f>IF(AND(M$13&gt;=$C$2,M$13&lt;($C$2+$C$5)),247+IF($C$41&gt;60000,175,150)+$C$41*0.0065*VLOOKUP("Registration",TimeTab,MATCH(M$12,Input!$A$127:$U$127,0),FALSE)+VLOOKUP($C$1, VehTab,6,FALSE),0)</f>
        <v>971.05</v>
      </c>
      <c r="N19" s="38">
        <f>IF(AND(N$13&gt;=$C$2,N$13&lt;($C$2+$C$5)),247+IF($C$41&gt;60000,175,150)+$C$41*0.0065*VLOOKUP("Registration",TimeTab,MATCH(N$12,Input!$A$127:$U$127,0),FALSE)+VLOOKUP($C$1, VehTab,6,FALSE),0)</f>
        <v>945.53750000000002</v>
      </c>
      <c r="O19" s="38">
        <f>IF(AND(O$13&gt;=$C$2,O$13&lt;($C$2+$C$5)),247+IF($C$41&gt;60000,175,150)+$C$41*0.0065*VLOOKUP("Registration",TimeTab,MATCH(O$12,Input!$A$127:$U$127,0),FALSE)+VLOOKUP($C$1, VehTab,6,FALSE),0)</f>
        <v>945.53750000000002</v>
      </c>
      <c r="P19" s="38">
        <f>IF(AND(P$13&gt;=$C$2,P$13&lt;($C$2+$C$5)),247+IF($C$41&gt;60000,175,150)+$C$41*0.0065*VLOOKUP("Registration",TimeTab,MATCH(P$12,Input!$A$127:$U$127,0),FALSE)+VLOOKUP($C$1, VehTab,6,FALSE),0)</f>
        <v>0</v>
      </c>
      <c r="Q19" s="38">
        <f>IF(AND(Q$13&gt;=$C$2,Q$13&lt;($C$2+$C$5)),247+IF($C$41&gt;60000,175,150)+$C$41*0.0065*VLOOKUP("Registration",TimeTab,MATCH(Q$12,Input!$A$127:$U$127,0),FALSE)+VLOOKUP($C$1, VehTab,6,FALSE),0)</f>
        <v>0</v>
      </c>
      <c r="R19" s="38">
        <f>IF(AND(R$13&gt;=$C$2,R$13&lt;($C$2+$C$5)),247+IF($C$41&gt;60000,175,150)+$C$41*0.0065*VLOOKUP("Registration",TimeTab,MATCH(R$12,Input!$A$127:$U$127,0),FALSE)+VLOOKUP($C$1, VehTab,6,FALSE),0)</f>
        <v>0</v>
      </c>
      <c r="S19" s="38">
        <f>IF(AND(S$13&gt;=$C$2,S$13&lt;($C$2+$C$5)),247+IF($C$41&gt;60000,175,150)+$C$41*0.0065*VLOOKUP("Registration",TimeTab,MATCH(S$12,Input!$A$127:$U$127,0),FALSE)+VLOOKUP($C$1, VehTab,6,FALSE),0)</f>
        <v>0</v>
      </c>
      <c r="T19" s="38">
        <f>IF(AND(T$13&gt;=$C$2,T$13&lt;($C$2+$C$5)),247+IF($C$41&gt;60000,175,150)+$C$41*0.0065*VLOOKUP("Registration",TimeTab,MATCH(T$12,Input!$A$127:$U$127,0),FALSE)+VLOOKUP($C$1, VehTab,6,FALSE),0)</f>
        <v>0</v>
      </c>
      <c r="U19" s="38">
        <f>IF(AND(U$13&gt;=$C$2,U$13&lt;($C$2+$C$5)),247+IF($C$41&gt;60000,175,150)+$C$41*0.0065*VLOOKUP("Registration",TimeTab,MATCH(U$12,Input!$A$127:$U$127,0),FALSE)+VLOOKUP($C$1, VehTab,6,FALSE),0)</f>
        <v>0</v>
      </c>
      <c r="V19" s="38">
        <f>IF(AND(V$13&gt;=$C$2,V$13&lt;($C$2+$C$5)),247+IF($C$41&gt;60000,175,150)+$C$41*0.0065*VLOOKUP("Registration",TimeTab,MATCH(V$12,Input!$A$127:$U$127,0),FALSE)+VLOOKUP($C$1, VehTab,6,FALSE),0)</f>
        <v>0</v>
      </c>
      <c r="W19" s="38">
        <f>IF(AND(W$13&gt;=$C$2,W$13&lt;($C$2+$C$5)),247+IF($C$41&gt;60000,175,150)+$C$41*0.0065*VLOOKUP("Registration",TimeTab,MATCH(W$12,Input!$A$127:$U$127,0),FALSE)+VLOOKUP($C$1, VehTab,6,FALSE),0)</f>
        <v>0</v>
      </c>
      <c r="X19" s="39">
        <f t="shared" si="5"/>
        <v>10859.661077626053</v>
      </c>
      <c r="Y19" s="40">
        <f t="shared" si="6"/>
        <v>13430.506718099998</v>
      </c>
      <c r="Z19" s="38">
        <f>IF(AND(Z$13&gt;=$C$2,Z$13&lt;($C$2+$C$5)),95+VLOOKUP($C$1,VehTab,7,FALSE)+IF($Y$41&gt;60000,175,150)+0.0065*$Y$41*VLOOKUP("Registration",TimeTab,MATCH(D$12,Input!$A$127:$U$127,0),FALSE),0)</f>
        <v>1618.6733979999999</v>
      </c>
      <c r="AA19" s="38">
        <f>IF(AND(AA$13&gt;=$C$2,AA$13&lt;($C$2+$C$5)),95+VLOOKUP($C$1,VehTab,7,FALSE)+IF($Y$41&gt;60000,175,150)+0.0065*$Y$41*VLOOKUP("Registration",TimeTab,MATCH(E$12,Input!$A$127:$U$127,0),FALSE),0)</f>
        <v>1519.6060582</v>
      </c>
      <c r="AB19" s="38">
        <f>IF(AND(AB$13&gt;=$C$2,AB$13&lt;($C$2+$C$5)),95+VLOOKUP($C$1,VehTab,7,FALSE)+IF($Y$41&gt;60000,175,150)+0.0065*$Y$41*VLOOKUP("Registration",TimeTab,MATCH(F$12,Input!$A$127:$U$127,0),FALSE),0)</f>
        <v>1420.5387184000001</v>
      </c>
      <c r="AC19" s="38">
        <f>IF(AND(AC$13&gt;=$C$2,AC$13&lt;($C$2+$C$5)),95+VLOOKUP($C$1,VehTab,7,FALSE)+IF($Y$41&gt;60000,175,150)+0.0065*$Y$41*VLOOKUP("Registration",TimeTab,MATCH(G$12,Input!$A$127:$U$127,0),FALSE),0)</f>
        <v>1321.4713785999998</v>
      </c>
      <c r="AD19" s="38">
        <f>IF(AND(AD$13&gt;=$C$2,AD$13&lt;($C$2+$C$5)),95+VLOOKUP($C$1,VehTab,7,FALSE)+IF($Y$41&gt;60000,175,150)+0.0065*$Y$41*VLOOKUP("Registration",TimeTab,MATCH(H$12,Input!$A$127:$U$127,0),FALSE),0)</f>
        <v>1222.4040387999999</v>
      </c>
      <c r="AE19" s="38">
        <f>IF(AND(AE$13&gt;=$C$2,AE$13&lt;($C$2+$C$5)),95+VLOOKUP($C$1,VehTab,7,FALSE)+IF($Y$41&gt;60000,175,150)+0.0065*$Y$41*VLOOKUP("Registration",TimeTab,MATCH(I$12,Input!$A$127:$U$127,0),FALSE),0)</f>
        <v>1123.336699</v>
      </c>
      <c r="AF19" s="38">
        <f>IF(AND(AF$13&gt;=$C$2,AF$13&lt;($C$2+$C$5)),95+VLOOKUP($C$1,VehTab,7,FALSE)+IF($Y$41&gt;60000,175,150)+0.0065*$Y$41*VLOOKUP("Registration",TimeTab,MATCH(J$12,Input!$A$127:$U$127,0),FALSE),0)</f>
        <v>1024.2693592000001</v>
      </c>
      <c r="AG19" s="38">
        <f>IF(AND(AG$13&gt;=$C$2,AG$13&lt;($C$2+$C$5)),95+VLOOKUP($C$1,VehTab,7,FALSE)+IF($Y$41&gt;60000,175,150)+0.0065*$Y$41*VLOOKUP("Registration",TimeTab,MATCH(K$12,Input!$A$127:$U$127,0),FALSE),0)</f>
        <v>925.20201939999993</v>
      </c>
      <c r="AH19" s="38">
        <f>IF(AND(AH$13&gt;=$C$2,AH$13&lt;($C$2+$C$5)),95+VLOOKUP($C$1,VehTab,7,FALSE)+IF($Y$41&gt;60000,175,150)+0.0065*$Y$41*VLOOKUP("Registration",TimeTab,MATCH(L$12,Input!$A$127:$U$127,0),FALSE),0)</f>
        <v>875.66834949999998</v>
      </c>
      <c r="AI19" s="38">
        <f>IF(AND(AI$13&gt;=$C$2,AI$13&lt;($C$2+$C$5)),95+VLOOKUP($C$1,VehTab,7,FALSE)+IF($Y$41&gt;60000,175,150)+0.0065*$Y$41*VLOOKUP("Registration",TimeTab,MATCH(M$12,Input!$A$127:$U$127,0),FALSE),0)</f>
        <v>826.13467960000003</v>
      </c>
      <c r="AJ19" s="38">
        <f>IF(AND(AJ$13&gt;=$C$2,AJ$13&lt;($C$2+$C$5)),95+VLOOKUP($C$1,VehTab,7,FALSE)+IF($Y$41&gt;60000,175,150)+0.0065*$Y$41*VLOOKUP("Registration",TimeTab,MATCH(N$12,Input!$A$127:$U$127,0),FALSE),0)</f>
        <v>776.60100969999996</v>
      </c>
      <c r="AK19" s="38">
        <f>IF(AND(AK$13&gt;=$C$2,AK$13&lt;($C$2+$C$5)),95+VLOOKUP($C$1,VehTab,7,FALSE)+IF($Y$41&gt;60000,175,150)+0.0065*$Y$41*VLOOKUP("Registration",TimeTab,MATCH(O$12,Input!$A$127:$U$127,0),FALSE),0)</f>
        <v>776.60100969999996</v>
      </c>
      <c r="AL19" s="38">
        <f>IF(AND(AL$13&gt;=$C$2,AL$13&lt;($C$2+$C$5)),95+VLOOKUP($C$1,VehTab,7,FALSE)+IF($Y$41&gt;60000,175,150)+0.0065*$Y$41*VLOOKUP("Registration",TimeTab,MATCH(P$12,Input!$A$127:$U$127,0),FALSE),0)</f>
        <v>0</v>
      </c>
      <c r="AM19" s="38">
        <f>IF(AND(AM$13&gt;=$C$2,AM$13&lt;($C$2+$C$5)),95+VLOOKUP($C$1,VehTab,7,FALSE)+IF($Y$41&gt;60000,175,150)+0.0065*$Y$41*VLOOKUP("Registration",TimeTab,MATCH(Q$12,Input!$A$127:$U$127,0),FALSE),0)</f>
        <v>0</v>
      </c>
      <c r="AN19" s="38">
        <f>IF(AND(AN$13&gt;=$C$2,AN$13&lt;($C$2+$C$5)),95+VLOOKUP($C$1,VehTab,7,FALSE)+IF($Y$41&gt;60000,175,150)+0.0065*$Y$41*VLOOKUP("Registration",TimeTab,MATCH(R$12,Input!$A$127:$U$127,0),FALSE),0)</f>
        <v>0</v>
      </c>
      <c r="AO19" s="38">
        <f>IF(AND(AO$13&gt;=$C$2,AO$13&lt;($C$2+$C$5)),95+VLOOKUP($C$1,VehTab,7,FALSE)+IF($Y$41&gt;60000,175,150)+0.0065*$Y$41*VLOOKUP("Registration",TimeTab,MATCH(S$12,Input!$A$127:$U$127,0),FALSE),0)</f>
        <v>0</v>
      </c>
      <c r="AP19" s="38">
        <f>IF(AND(AP$13&gt;=$C$2,AP$13&lt;($C$2+$C$5)),95+VLOOKUP($C$1,VehTab,7,FALSE)+IF($Y$41&gt;60000,175,150)+0.0065*$Y$41*VLOOKUP("Registration",TimeTab,MATCH(T$12,Input!$A$127:$U$127,0),FALSE),0)</f>
        <v>0</v>
      </c>
      <c r="AQ19" s="38">
        <f>IF(AND(AQ$13&gt;=$C$2,AQ$13&lt;($C$2+$C$5)),95+VLOOKUP($C$1,VehTab,7,FALSE)+IF($Y$41&gt;60000,175,150)+0.0065*$Y$41*VLOOKUP("Registration",TimeTab,MATCH(U$12,Input!$A$127:$U$127,0),FALSE),0)</f>
        <v>0</v>
      </c>
      <c r="AR19" s="38">
        <f>IF(AND(AR$13&gt;=$C$2,AR$13&lt;($C$2+$C$5)),95+VLOOKUP($C$1,VehTab,7,FALSE)+IF($Y$41&gt;60000,175,150)+0.0065*$Y$41*VLOOKUP("Registration",TimeTab,MATCH(V$12,Input!$A$127:$U$127,0),FALSE),0)</f>
        <v>0</v>
      </c>
      <c r="AS19" s="38">
        <f>IF(AND(AS$13&gt;=$C$2,AS$13&lt;($C$2+$C$5)),95+VLOOKUP($C$1,VehTab,7,FALSE)+IF($Y$41&gt;60000,175,150)+0.0065*$Y$41*VLOOKUP("Registration",TimeTab,MATCH(W$12,Input!$A$127:$U$127,0),FALSE),0)</f>
        <v>0</v>
      </c>
      <c r="AT19" s="39">
        <f t="shared" si="8"/>
        <v>15482.290795777102</v>
      </c>
      <c r="AU19" s="40">
        <f t="shared" ref="AU19:AU24" si="19">SUM(AV19:BO19)</f>
        <v>18863.578762499998</v>
      </c>
      <c r="AV19" s="83">
        <f>IF(AND(AV$13&gt;=$C$2,AV$13&lt;($C$2+$C$5)),95+VLOOKUP($C$1,VehTab,7,FALSE)+IF($AU$41&gt;60000,175,150)+0.0065*$AU$41*VLOOKUP("Registration",TimeTab,MATCH(Z$12,Input!$A$127:$U$127,0),FALSE),0)</f>
        <v>2531.79475</v>
      </c>
      <c r="AW19" s="84">
        <f>IF(AND(AW$13&gt;=$C$2,AW$13&lt;($C$2+$C$5)),95+VLOOKUP($C$1,VehTab,7,FALSE)+IF($AU$41&gt;60000,175,150)+0.0065*$AU$41*VLOOKUP("Registration",TimeTab,MATCH(AA$12,Input!$A$127:$U$127,0),FALSE),0)</f>
        <v>2341.4152750000003</v>
      </c>
      <c r="AX19" s="84">
        <f>IF(AND(AX$13&gt;=$C$2,AX$13&lt;($C$2+$C$5)),95+VLOOKUP($C$1,VehTab,7,FALSE)+IF($AU$41&gt;60000,175,150)+0.0065*$AU$41*VLOOKUP("Registration",TimeTab,MATCH(AB$12,Input!$A$127:$U$127,0),FALSE),0)</f>
        <v>2151.0358000000001</v>
      </c>
      <c r="AY19" s="84">
        <f>IF(AND(AY$13&gt;=$C$2,AY$13&lt;($C$2+$C$5)),95+VLOOKUP($C$1,VehTab,7,FALSE)+IF($AU$41&gt;60000,175,150)+0.0065*$AU$41*VLOOKUP("Registration",TimeTab,MATCH(AC$12,Input!$A$127:$U$127,0),FALSE),0)</f>
        <v>1960.6563249999999</v>
      </c>
      <c r="AZ19" s="84">
        <f>IF(AND(AZ$13&gt;=$C$2,AZ$13&lt;($C$2+$C$5)),95+VLOOKUP($C$1,VehTab,7,FALSE)+IF($AU$41&gt;60000,175,150)+0.0065*$AU$41*VLOOKUP("Registration",TimeTab,MATCH(AD$12,Input!$A$127:$U$127,0),FALSE),0)</f>
        <v>1770.27685</v>
      </c>
      <c r="BA19" s="84">
        <f>IF(AND(BA$13&gt;=$C$2,BA$13&lt;($C$2+$C$5)),95+VLOOKUP($C$1,VehTab,7,FALSE)+IF($AU$41&gt;60000,175,150)+0.0065*$AU$41*VLOOKUP("Registration",TimeTab,MATCH(AE$12,Input!$A$127:$U$127,0),FALSE),0)</f>
        <v>1579.897375</v>
      </c>
      <c r="BB19" s="84">
        <f>IF(AND(BB$13&gt;=$C$2,BB$13&lt;($C$2+$C$5)),95+VLOOKUP($C$1,VehTab,7,FALSE)+IF($AU$41&gt;60000,175,150)+0.0065*$AU$41*VLOOKUP("Registration",TimeTab,MATCH(AF$12,Input!$A$127:$U$127,0),FALSE),0)</f>
        <v>1389.5179000000001</v>
      </c>
      <c r="BC19" s="84">
        <f>IF(AND(BC$13&gt;=$C$2,BC$13&lt;($C$2+$C$5)),95+VLOOKUP($C$1,VehTab,7,FALSE)+IF($AU$41&gt;60000,175,150)+0.0065*$AU$41*VLOOKUP("Registration",TimeTab,MATCH(AG$12,Input!$A$127:$U$127,0),FALSE),0)</f>
        <v>1199.1384250000001</v>
      </c>
      <c r="BD19" s="84">
        <f>IF(AND(BD$13&gt;=$C$2,BD$13&lt;($C$2+$C$5)),95+VLOOKUP($C$1,VehTab,7,FALSE)+IF($AU$41&gt;60000,175,150)+0.0065*$AU$41*VLOOKUP("Registration",TimeTab,MATCH(AH$12,Input!$A$127:$U$127,0),FALSE),0)</f>
        <v>1103.9486875</v>
      </c>
      <c r="BE19" s="84">
        <f>IF(AND(BE$13&gt;=$C$2,BE$13&lt;($C$2+$C$5)),95+VLOOKUP($C$1,VehTab,7,FALSE)+IF($AU$41&gt;60000,175,150)+0.0065*$AU$41*VLOOKUP("Registration",TimeTab,MATCH(AI$12,Input!$A$127:$U$127,0),FALSE),0)</f>
        <v>1008.75895</v>
      </c>
      <c r="BF19" s="84">
        <f>IF(AND(BF$13&gt;=$C$2,BF$13&lt;($C$2+$C$5)),95+VLOOKUP($C$1,VehTab,7,FALSE)+IF($AU$41&gt;60000,175,150)+0.0065*$AU$41*VLOOKUP("Registration",TimeTab,MATCH(AJ$12,Input!$A$127:$U$127,0),FALSE),0)</f>
        <v>913.56921250000005</v>
      </c>
      <c r="BG19" s="84">
        <f>IF(AND(BG$13&gt;=$C$2,BG$13&lt;($C$2+$C$5)),95+VLOOKUP($C$1,VehTab,7,FALSE)+IF($AU$41&gt;60000,175,150)+0.0065*$AU$41*VLOOKUP("Registration",TimeTab,MATCH(AK$12,Input!$A$127:$U$127,0),FALSE),0)</f>
        <v>913.56921250000005</v>
      </c>
      <c r="BH19" s="84">
        <f>IF(AND(BH$13&gt;=$C$2,BH$13&lt;($C$2+$C$5)),95+VLOOKUP($C$1,VehTab,7,FALSE)+IF($AU$41&gt;60000,175,150)+0.0065*$AU$41*VLOOKUP("Registration",TimeTab,MATCH(AL$12,Input!$A$127:$U$127,0),FALSE),0)</f>
        <v>0</v>
      </c>
      <c r="BI19" s="84">
        <f>IF(AND(BI$13&gt;=$C$2,BI$13&lt;($C$2+$C$5)),95+VLOOKUP($C$1,VehTab,7,FALSE)+IF($AU$41&gt;60000,175,150)+0.0065*$AU$41*VLOOKUP("Registration",TimeTab,MATCH(AM$12,Input!$A$127:$U$127,0),FALSE),0)</f>
        <v>0</v>
      </c>
      <c r="BJ19" s="84">
        <f>IF(AND(BJ$13&gt;=$C$2,BJ$13&lt;($C$2+$C$5)),95+VLOOKUP($C$1,VehTab,7,FALSE)+IF($AU$41&gt;60000,175,150)+0.0065*$AU$41*VLOOKUP("Registration",TimeTab,MATCH(AN$12,Input!$A$127:$U$127,0),FALSE),0)</f>
        <v>0</v>
      </c>
      <c r="BK19" s="84">
        <f>IF(AND(BK$13&gt;=$C$2,BK$13&lt;($C$2+$C$5)),95+VLOOKUP($C$1,VehTab,7,FALSE)+IF($AU$41&gt;60000,175,150)+0.0065*$AU$41*VLOOKUP("Registration",TimeTab,MATCH(AO$12,Input!$A$127:$U$127,0),FALSE),0)</f>
        <v>0</v>
      </c>
      <c r="BL19" s="84">
        <f>IF(AND(BL$13&gt;=$C$2,BL$13&lt;($C$2+$C$5)),95+VLOOKUP($C$1,VehTab,7,FALSE)+IF($AU$41&gt;60000,175,150)+0.0065*$AU$41*VLOOKUP("Registration",TimeTab,MATCH(AP$12,Input!$A$127:$U$127,0),FALSE),0)</f>
        <v>0</v>
      </c>
      <c r="BM19" s="84">
        <f>IF(AND(BM$13&gt;=$C$2,BM$13&lt;($C$2+$C$5)),95+VLOOKUP($C$1,VehTab,7,FALSE)+IF($AU$41&gt;60000,175,150)+0.0065*$AU$41*VLOOKUP("Registration",TimeTab,MATCH(AQ$12,Input!$A$127:$U$127,0),FALSE),0)</f>
        <v>0</v>
      </c>
      <c r="BN19" s="84">
        <f>IF(AND(BN$13&gt;=$C$2,BN$13&lt;($C$2+$C$5)),95+VLOOKUP($C$1,VehTab,7,FALSE)+IF($AU$41&gt;60000,175,150)+0.0065*$AU$41*VLOOKUP("Registration",TimeTab,MATCH(AR$12,Input!$A$127:$U$127,0),FALSE),0)</f>
        <v>0</v>
      </c>
      <c r="BO19" s="85">
        <f>IF(AND(BO$13&gt;=$C$2,BO$13&lt;($C$2+$C$5)),95+VLOOKUP($C$1,VehTab,7,FALSE)+IF($AU$41&gt;60000,175,150)+0.0065*$AU$41*VLOOKUP("Registration",TimeTab,MATCH(AS$12,Input!$A$127:$U$127,0),FALSE),0)</f>
        <v>0</v>
      </c>
    </row>
    <row r="20" spans="1:91" x14ac:dyDescent="0.25">
      <c r="A20" s="63" t="s">
        <v>10</v>
      </c>
      <c r="B20" s="36">
        <f t="shared" si="3"/>
        <v>90480.621955175462</v>
      </c>
      <c r="C20" s="37">
        <f t="shared" si="18"/>
        <v>119083.1797877647</v>
      </c>
      <c r="D20" s="38">
        <f>IF(AND(D$13&gt;=$C$2,D$13&lt;($C$2+$C$5)),VLOOKUP("Mileage Assumption",MileTab,MATCH(D$12,Input!$A$13:$U$13,0),FALSE)*VLOOKUP($B$12,FuelTab,MATCH(Main!D$13,Input!$A$79:$AK$79),FALSE)/(VLOOKUP($C$1&amp;" - "&amp;$B$12,EconTab,MATCH($C$2,Input!$A$43:$Q$43),FALSE)*IF(ISNUMBER(SEARCH("Urban",$C$8)),0.7,IF(ISNUMBER(SEARCH("Freeway",$C$8)),1.3,1))),0)</f>
        <v>7752.9996056470591</v>
      </c>
      <c r="E20" s="38">
        <f>IF(AND(E$13&gt;=$C$2,E$13&lt;($C$2+$C$5)),VLOOKUP("Mileage Assumption",MileTab,MATCH(E$12,Input!$A$13:$U$13,0),FALSE)*VLOOKUP($B$12,FuelTab,MATCH(Main!E$13,Input!$A$79:$AK$79),FALSE)/(VLOOKUP($C$1&amp;" - "&amp;$B$12,EconTab,MATCH($C$2,Input!$A$43:$Q$43),FALSE)*IF(ISNUMBER(SEARCH("Urban",$C$8)),0.7,IF(ISNUMBER(SEARCH("Freeway",$C$8)),1.3,1))),0)</f>
        <v>7897.1347510588239</v>
      </c>
      <c r="F20" s="38">
        <f>IF(AND(F$13&gt;=$C$2,F$13&lt;($C$2+$C$5)),VLOOKUP("Mileage Assumption",MileTab,MATCH(F$12,Input!$A$13:$U$13,0),FALSE)*VLOOKUP($B$12,FuelTab,MATCH(Main!F$13,Input!$A$79:$AK$79),FALSE)/(VLOOKUP($C$1&amp;" - "&amp;$B$12,EconTab,MATCH($C$2,Input!$A$43:$Q$43),FALSE)*IF(ISNUMBER(SEARCH("Urban",$C$8)),0.7,IF(ISNUMBER(SEARCH("Freeway",$C$8)),1.3,1))),0)</f>
        <v>8886.2630639999988</v>
      </c>
      <c r="G20" s="38">
        <f>IF(AND(G$13&gt;=$C$2,G$13&lt;($C$2+$C$5)),VLOOKUP("Mileage Assumption",MileTab,MATCH(G$12,Input!$A$13:$U$13,0),FALSE)*VLOOKUP($B$12,FuelTab,MATCH(Main!G$13,Input!$A$79:$AK$79),FALSE)/(VLOOKUP($C$1&amp;" - "&amp;$B$12,EconTab,MATCH($C$2,Input!$A$43:$Q$43),FALSE)*IF(ISNUMBER(SEARCH("Urban",$C$8)),0.7,IF(ISNUMBER(SEARCH("Freeway",$C$8)),1.3,1))),0)</f>
        <v>9319.7102287058824</v>
      </c>
      <c r="H20" s="38">
        <f>IF(AND(H$13&gt;=$C$2,H$13&lt;($C$2+$C$5)),VLOOKUP("Mileage Assumption",MileTab,MATCH(H$12,Input!$A$13:$U$13,0),FALSE)*VLOOKUP($B$12,FuelTab,MATCH(Main!H$13,Input!$A$79:$AK$79),FALSE)/(VLOOKUP($C$1&amp;" - "&amp;$B$12,EconTab,MATCH($C$2,Input!$A$43:$Q$43),FALSE)*IF(ISNUMBER(SEARCH("Urban",$C$8)),0.7,IF(ISNUMBER(SEARCH("Freeway",$C$8)),1.3,1))),0)</f>
        <v>9467.058314823531</v>
      </c>
      <c r="I20" s="38">
        <f>IF(AND(I$13&gt;=$C$2,I$13&lt;($C$2+$C$5)),VLOOKUP("Mileage Assumption",MileTab,MATCH(I$12,Input!$A$13:$U$13,0),FALSE)*VLOOKUP($B$12,FuelTab,MATCH(Main!I$13,Input!$A$79:$AK$79),FALSE)/(VLOOKUP($C$1&amp;" - "&amp;$B$12,EconTab,MATCH($C$2,Input!$A$43:$Q$43),FALSE)*IF(ISNUMBER(SEARCH("Urban",$C$8)),0.7,IF(ISNUMBER(SEARCH("Freeway",$C$8)),1.3,1))),0)</f>
        <v>9624.5801647058834</v>
      </c>
      <c r="J20" s="38">
        <f>IF(AND(J$13&gt;=$C$2,J$13&lt;($C$2+$C$5)),VLOOKUP("Mileage Assumption",MileTab,MATCH(J$12,Input!$A$13:$U$13,0),FALSE)*VLOOKUP($B$12,FuelTab,MATCH(Main!J$13,Input!$A$79:$AK$79),FALSE)/(VLOOKUP($C$1&amp;" - "&amp;$B$12,EconTab,MATCH($C$2,Input!$A$43:$Q$43),FALSE)*IF(ISNUMBER(SEARCH("Urban",$C$8)),0.7,IF(ISNUMBER(SEARCH("Freeway",$C$8)),1.3,1))),0)</f>
        <v>10743.986696470587</v>
      </c>
      <c r="K20" s="38">
        <f>IF(AND(K$13&gt;=$C$2,K$13&lt;($C$2+$C$5)),VLOOKUP("Mileage Assumption",MileTab,MATCH(K$12,Input!$A$13:$U$13,0),FALSE)*VLOOKUP($B$12,FuelTab,MATCH(Main!K$13,Input!$A$79:$AK$79),FALSE)/(VLOOKUP($C$1&amp;" - "&amp;$B$12,EconTab,MATCH($C$2,Input!$A$43:$Q$43),FALSE)*IF(ISNUMBER(SEARCH("Urban",$C$8)),0.7,IF(ISNUMBER(SEARCH("Freeway",$C$8)),1.3,1))),0)</f>
        <v>10864.897037647059</v>
      </c>
      <c r="L20" s="38">
        <f>IF(AND(L$13&gt;=$C$2,L$13&lt;($C$2+$C$5)),VLOOKUP("Mileage Assumption",MileTab,MATCH(L$12,Input!$A$13:$U$13,0),FALSE)*VLOOKUP($B$12,FuelTab,MATCH(Main!L$13,Input!$A$79:$AK$79),FALSE)/(VLOOKUP($C$1&amp;" - "&amp;$B$12,EconTab,MATCH($C$2,Input!$A$43:$Q$43),FALSE)*IF(ISNUMBER(SEARCH("Urban",$C$8)),0.7,IF(ISNUMBER(SEARCH("Freeway",$C$8)),1.3,1))),0)</f>
        <v>10918.911883764707</v>
      </c>
      <c r="M20" s="38">
        <f>IF(AND(M$13&gt;=$C$2,M$13&lt;($C$2+$C$5)),VLOOKUP("Mileage Assumption",MileTab,MATCH(M$12,Input!$A$13:$U$13,0),FALSE)*VLOOKUP($B$12,FuelTab,MATCH(Main!M$13,Input!$A$79:$AK$79),FALSE)/(VLOOKUP($C$1&amp;" - "&amp;$B$12,EconTab,MATCH($C$2,Input!$A$43:$Q$43),FALSE)*IF(ISNUMBER(SEARCH("Urban",$C$8)),0.7,IF(ISNUMBER(SEARCH("Freeway",$C$8)),1.3,1))),0)</f>
        <v>11031.919860705882</v>
      </c>
      <c r="N20" s="38">
        <f>IF(AND(N$13&gt;=$C$2,N$13&lt;($C$2+$C$5)),VLOOKUP("Mileage Assumption",MileTab,MATCH(N$12,Input!$A$13:$U$13,0),FALSE)*VLOOKUP($B$12,FuelTab,MATCH(Main!N$13,Input!$A$79:$AK$79),FALSE)/(VLOOKUP($C$1&amp;" - "&amp;$B$12,EconTab,MATCH($C$2,Input!$A$43:$Q$43),FALSE)*IF(ISNUMBER(SEARCH("Urban",$C$8)),0.7,IF(ISNUMBER(SEARCH("Freeway",$C$8)),1.3,1))),0)</f>
        <v>11153.273000470588</v>
      </c>
      <c r="O20" s="38">
        <f>IF(AND(O$13&gt;=$C$2,O$13&lt;($C$2+$C$5)),VLOOKUP("Mileage Assumption",MileTab,MATCH(O$12,Input!$A$13:$U$13,0),FALSE)*VLOOKUP($B$12,FuelTab,MATCH(Main!O$13,Input!$A$79:$AK$79),FALSE)/(VLOOKUP($C$1&amp;" - "&amp;$B$12,EconTab,MATCH($C$2,Input!$A$43:$Q$43),FALSE)*IF(ISNUMBER(SEARCH("Urban",$C$8)),0.7,IF(ISNUMBER(SEARCH("Freeway",$C$8)),1.3,1))),0)</f>
        <v>11422.445179764705</v>
      </c>
      <c r="P20" s="38">
        <f>IF(AND(P$13&gt;=$C$2,P$13&lt;($C$2+$C$5)),VLOOKUP("Mileage Assumption",MileTab,MATCH(P$12,Input!$A$13:$U$13,0),FALSE)*VLOOKUP($B$12,FuelTab,MATCH(Main!P$13,Input!$A$79:$AK$79),FALSE)/(VLOOKUP($C$1&amp;" - "&amp;$B$12,EconTab,MATCH($C$2,Input!$A$43:$Q$43),FALSE)*IF(ISNUMBER(SEARCH("Urban",$C$8)),0.7,IF(ISNUMBER(SEARCH("Freeway",$C$8)),1.3,1))),0)</f>
        <v>0</v>
      </c>
      <c r="Q20" s="38">
        <f>IF(AND(Q$13&gt;=$C$2,Q$13&lt;($C$2+$C$5)),VLOOKUP("Mileage Assumption",MileTab,MATCH(Q$12,Input!$A$13:$U$13,0),FALSE)*VLOOKUP($B$12,FuelTab,MATCH(Main!Q$13,Input!$A$79:$AK$79),FALSE)/(VLOOKUP($C$1&amp;" - "&amp;$B$12,EconTab,MATCH($C$2,Input!$A$43:$Q$43),FALSE)*IF(ISNUMBER(SEARCH("Urban",$C$8)),0.7,IF(ISNUMBER(SEARCH("Freeway",$C$8)),1.3,1))),0)</f>
        <v>0</v>
      </c>
      <c r="R20" s="38">
        <f>IF(AND(R$13&gt;=$C$2,R$13&lt;($C$2+$C$5)),VLOOKUP("Mileage Assumption",MileTab,MATCH(R$12,Input!$A$13:$U$13,0),FALSE)*VLOOKUP($B$12,FuelTab,MATCH(Main!R$13,Input!$A$79:$AK$79),FALSE)/(VLOOKUP($C$1&amp;" - "&amp;$B$12,EconTab,MATCH($C$2,Input!$A$43:$Q$43),FALSE)*IF(ISNUMBER(SEARCH("Urban",$C$8)),0.7,IF(ISNUMBER(SEARCH("Freeway",$C$8)),1.3,1))),0)</f>
        <v>0</v>
      </c>
      <c r="S20" s="38">
        <f>IF(AND(S$13&gt;=$C$2,S$13&lt;($C$2+$C$5)),VLOOKUP("Mileage Assumption",MileTab,MATCH(S$12,Input!$A$13:$U$13,0),FALSE)*VLOOKUP($B$12,FuelTab,MATCH(Main!S$13,Input!$A$79:$AK$79),FALSE)/(VLOOKUP($C$1&amp;" - "&amp;$B$12,EconTab,MATCH($C$2,Input!$A$43:$Q$43),FALSE)*IF(ISNUMBER(SEARCH("Urban",$C$8)),0.7,IF(ISNUMBER(SEARCH("Freeway",$C$8)),1.3,1))),0)</f>
        <v>0</v>
      </c>
      <c r="T20" s="38">
        <f>IF(AND(T$13&gt;=$C$2,T$13&lt;($C$2+$C$5)),VLOOKUP("Mileage Assumption",MileTab,MATCH(T$12,Input!$A$13:$U$13,0),FALSE)*VLOOKUP($B$12,FuelTab,MATCH(Main!T$13,Input!$A$79:$AK$79),FALSE)/(VLOOKUP($C$1&amp;" - "&amp;$B$12,EconTab,MATCH($C$2,Input!$A$43:$Q$43),FALSE)*IF(ISNUMBER(SEARCH("Urban",$C$8)),0.7,IF(ISNUMBER(SEARCH("Freeway",$C$8)),1.3,1))),0)</f>
        <v>0</v>
      </c>
      <c r="U20" s="38">
        <f>IF(AND(U$13&gt;=$C$2,U$13&lt;($C$2+$C$5)),VLOOKUP("Mileage Assumption",MileTab,MATCH(U$12,Input!$A$13:$U$13,0),FALSE)*VLOOKUP($B$12,FuelTab,MATCH(Main!U$13,Input!$A$79:$AK$79),FALSE)/(VLOOKUP($C$1&amp;" - "&amp;$B$12,EconTab,MATCH($C$2,Input!$A$43:$Q$43),FALSE)*IF(ISNUMBER(SEARCH("Urban",$C$8)),0.7,IF(ISNUMBER(SEARCH("Freeway",$C$8)),1.3,1))),0)</f>
        <v>0</v>
      </c>
      <c r="V20" s="38">
        <f>IF(AND(V$13&gt;=$C$2,V$13&lt;($C$2+$C$5)),VLOOKUP("Mileage Assumption",MileTab,MATCH(V$12,Input!$A$13:$U$13,0),FALSE)*VLOOKUP($B$12,FuelTab,MATCH(Main!V$13,Input!$A$79:$AK$79),FALSE)/(VLOOKUP($C$1&amp;" - "&amp;$B$12,EconTab,MATCH($C$2,Input!$A$43:$Q$43),FALSE)*IF(ISNUMBER(SEARCH("Urban",$C$8)),0.7,IF(ISNUMBER(SEARCH("Freeway",$C$8)),1.3,1))),0)</f>
        <v>0</v>
      </c>
      <c r="W20" s="38">
        <f>IF(AND(W$13&gt;=$C$2,W$13&lt;($C$2+$C$5)),VLOOKUP("Mileage Assumption",MileTab,MATCH(W$12,Input!$A$13:$U$13,0),FALSE)*VLOOKUP($B$12,FuelTab,MATCH(Main!W$13,Input!$A$79:$AK$79),FALSE)/(VLOOKUP($C$1&amp;" - "&amp;$B$12,EconTab,MATCH($C$2,Input!$A$43:$Q$43),FALSE)*IF(ISNUMBER(SEARCH("Urban",$C$8)),0.7,IF(ISNUMBER(SEARCH("Freeway",$C$8)),1.3,1))),0)</f>
        <v>0</v>
      </c>
      <c r="X20" s="39">
        <f t="shared" si="5"/>
        <v>33472.453594490216</v>
      </c>
      <c r="Y20" s="40">
        <f t="shared" si="6"/>
        <v>43998.337075994772</v>
      </c>
      <c r="Z20" s="38">
        <f>IF(AND(Z$13&gt;=$C$2,Z$13&lt;($C$2+$C$5)),VLOOKUP("Mileage Assumption",MileTab,MATCH(Z$12,Input!$A$13:$U$13,0),FALSE)*VLOOKUP("Electricity",FuelTab,MATCH(Main!Z$13,Input!$A$79:$AK$79),FALSE)/(VLOOKUP($C$1&amp;" - Electric",EconTab,MATCH($C$2,Input!$A$43:$Q$43),FALSE)),0)</f>
        <v>2995.2</v>
      </c>
      <c r="AA20" s="38">
        <f>IF(AND(AA$13&gt;=$C$2,AA$13&lt;($C$2+$C$5)),VLOOKUP("Mileage Assumption",MileTab,MATCH(AA$12,Input!$A$13:$U$13,0),FALSE)*VLOOKUP("Electricity",FuelTab,MATCH(Main!AA$13,Input!$A$79:$AK$79),FALSE)/(VLOOKUP($C$1&amp;" - Electric",EconTab,MATCH($C$2,Input!$A$43:$Q$43),FALSE)),0)</f>
        <v>3174.9120000000003</v>
      </c>
      <c r="AB20" s="38">
        <f>IF(AND(AB$13&gt;=$C$2,AB$13&lt;($C$2+$C$5)),VLOOKUP("Mileage Assumption",MileTab,MATCH(AB$12,Input!$A$13:$U$13,0),FALSE)*VLOOKUP("Electricity",FuelTab,MATCH(Main!AB$13,Input!$A$79:$AK$79),FALSE)/(VLOOKUP($C$1&amp;" - Electric",EconTab,MATCH($C$2,Input!$A$43:$Q$43),FALSE)),0)</f>
        <v>3178.0869119999998</v>
      </c>
      <c r="AC20" s="38">
        <f>IF(AND(AC$13&gt;=$C$2,AC$13&lt;($C$2+$C$5)),VLOOKUP("Mileage Assumption",MileTab,MATCH(AC$12,Input!$A$13:$U$13,0),FALSE)*VLOOKUP("Electricity",FuelTab,MATCH(Main!AC$13,Input!$A$79:$AK$79),FALSE)/(VLOOKUP($C$1&amp;" - Electric",EconTab,MATCH($C$2,Input!$A$43:$Q$43),FALSE)),0)</f>
        <v>3289.3199539199995</v>
      </c>
      <c r="AD20" s="38">
        <f>IF(AND(AD$13&gt;=$C$2,AD$13&lt;($C$2+$C$5)),VLOOKUP("Mileage Assumption",MileTab,MATCH(AD$12,Input!$A$13:$U$13,0),FALSE)*VLOOKUP("Electricity",FuelTab,MATCH(Main!AD$13,Input!$A$79:$AK$79),FALSE)/(VLOOKUP($C$1&amp;" - Electric",EconTab,MATCH($C$2,Input!$A$43:$Q$43),FALSE)),0)</f>
        <v>3450.4966316620789</v>
      </c>
      <c r="AE20" s="38">
        <f>IF(AND(AE$13&gt;=$C$2,AE$13&lt;($C$2+$C$5)),VLOOKUP("Mileage Assumption",MileTab,MATCH(AE$12,Input!$A$13:$U$13,0),FALSE)*VLOOKUP("Electricity",FuelTab,MATCH(Main!AE$13,Input!$A$79:$AK$79),FALSE)/(VLOOKUP($C$1&amp;" - Electric",EconTab,MATCH($C$2,Input!$A$43:$Q$43),FALSE)),0)</f>
        <v>3623.021463245183</v>
      </c>
      <c r="AF20" s="38">
        <f>IF(AND(AF$13&gt;=$C$2,AF$13&lt;($C$2+$C$5)),VLOOKUP("Mileage Assumption",MileTab,MATCH(AF$12,Input!$A$13:$U$13,0),FALSE)*VLOOKUP("Electricity",FuelTab,MATCH(Main!AF$13,Input!$A$79:$AK$79),FALSE)/(VLOOKUP($C$1&amp;" - Electric",EconTab,MATCH($C$2,Input!$A$43:$Q$43),FALSE)),0)</f>
        <v>3825.9106651869138</v>
      </c>
      <c r="AG20" s="38">
        <f>IF(AND(AG$13&gt;=$C$2,AG$13&lt;($C$2+$C$5)),VLOOKUP("Mileage Assumption",MileTab,MATCH(AG$12,Input!$A$13:$U$13,0),FALSE)*VLOOKUP("Electricity",FuelTab,MATCH(Main!AG$13,Input!$A$79:$AK$79),FALSE)/(VLOOKUP($C$1&amp;" - Electric",EconTab,MATCH($C$2,Input!$A$43:$Q$43),FALSE)),0)</f>
        <v>3902.4288784906516</v>
      </c>
      <c r="AH20" s="38">
        <f>IF(AND(AH$13&gt;=$C$2,AH$13&lt;($C$2+$C$5)),VLOOKUP("Mileage Assumption",MileTab,MATCH(AH$12,Input!$A$13:$U$13,0),FALSE)*VLOOKUP("Electricity",FuelTab,MATCH(Main!AH$13,Input!$A$79:$AK$79),FALSE)/(VLOOKUP($C$1&amp;" - Electric",EconTab,MATCH($C$2,Input!$A$43:$Q$43),FALSE)),0)</f>
        <v>4027.306602602353</v>
      </c>
      <c r="AI20" s="38">
        <f>IF(AND(AI$13&gt;=$C$2,AI$13&lt;($C$2+$C$5)),VLOOKUP("Mileage Assumption",MileTab,MATCH(AI$12,Input!$A$13:$U$13,0),FALSE)*VLOOKUP("Electricity",FuelTab,MATCH(Main!AI$13,Input!$A$79:$AK$79),FALSE)/(VLOOKUP($C$1&amp;" - Electric",EconTab,MATCH($C$2,Input!$A$43:$Q$43),FALSE)),0)</f>
        <v>4148.1258006804237</v>
      </c>
      <c r="AJ20" s="38">
        <f>IF(AND(AJ$13&gt;=$C$2,AJ$13&lt;($C$2+$C$5)),VLOOKUP("Mileage Assumption",MileTab,MATCH(AJ$12,Input!$A$13:$U$13,0),FALSE)*VLOOKUP("Electricity",FuelTab,MATCH(Main!AJ$13,Input!$A$79:$AK$79),FALSE)/(VLOOKUP($C$1&amp;" - Electric",EconTab,MATCH($C$2,Input!$A$43:$Q$43),FALSE)),0)</f>
        <v>4181.310807085868</v>
      </c>
      <c r="AK20" s="38">
        <f>IF(AND(AK$13&gt;=$C$2,AK$13&lt;($C$2+$C$5)),VLOOKUP("Mileage Assumption",MileTab,MATCH(AK$12,Input!$A$13:$U$13,0),FALSE)*VLOOKUP("Electricity",FuelTab,MATCH(Main!AK$13,Input!$A$79:$AK$79),FALSE)/(VLOOKUP($C$1&amp;" - Electric",EconTab,MATCH($C$2,Input!$A$43:$Q$43),FALSE)),0)</f>
        <v>4202.2173611212966</v>
      </c>
      <c r="AL20" s="38">
        <f>IF(AND(AL$13&gt;=$C$2,AL$13&lt;($C$2+$C$5)),VLOOKUP("Mileage Assumption",MileTab,MATCH(AL$12,Input!$A$13:$U$13,0),FALSE)*VLOOKUP("Electricity",FuelTab,MATCH(Main!AL$13,Input!$A$79:$AK$79),FALSE)/(VLOOKUP($C$1&amp;" - Electric",EconTab,MATCH($C$2,Input!$A$43:$Q$43),FALSE)),0)</f>
        <v>0</v>
      </c>
      <c r="AM20" s="38">
        <f>IF(AND(AM$13&gt;=$C$2,AM$13&lt;($C$2+$C$5)),VLOOKUP("Mileage Assumption",MileTab,MATCH(AM$12,Input!$A$13:$U$13,0),FALSE)*VLOOKUP("Electricity",FuelTab,MATCH(Main!AM$13,Input!$A$79:$AK$79),FALSE)/(VLOOKUP($C$1&amp;" - Electric",EconTab,MATCH($C$2,Input!$A$43:$Q$43),FALSE)),0)</f>
        <v>0</v>
      </c>
      <c r="AN20" s="38">
        <f>IF(AND(AN$13&gt;=$C$2,AN$13&lt;($C$2+$C$5)),VLOOKUP("Mileage Assumption",MileTab,MATCH(AN$12,Input!$A$13:$U$13,0),FALSE)*VLOOKUP("Electricity",FuelTab,MATCH(Main!AN$13,Input!$A$79:$AK$79),FALSE)/(VLOOKUP($C$1&amp;" - Electric",EconTab,MATCH($C$2,Input!$A$43:$Q$43),FALSE)),0)</f>
        <v>0</v>
      </c>
      <c r="AO20" s="38">
        <f>IF(AND(AO$13&gt;=$C$2,AO$13&lt;($C$2+$C$5)),VLOOKUP("Mileage Assumption",MileTab,MATCH(AO$12,Input!$A$13:$U$13,0),FALSE)*VLOOKUP("Electricity",FuelTab,MATCH(Main!AO$13,Input!$A$79:$AK$79),FALSE)/(VLOOKUP($C$1&amp;" - Electric",EconTab,MATCH($C$2,Input!$A$43:$Q$43),FALSE)),0)</f>
        <v>0</v>
      </c>
      <c r="AP20" s="38">
        <f>IF(AND(AP$13&gt;=$C$2,AP$13&lt;($C$2+$C$5)),VLOOKUP("Mileage Assumption",MileTab,MATCH(AP$12,Input!$A$13:$U$13,0),FALSE)*VLOOKUP("Electricity",FuelTab,MATCH(Main!AP$13,Input!$A$79:$AK$79),FALSE)/(VLOOKUP($C$1&amp;" - Electric",EconTab,MATCH($C$2,Input!$A$43:$Q$43),FALSE)),0)</f>
        <v>0</v>
      </c>
      <c r="AQ20" s="38">
        <f>IF(AND(AQ$13&gt;=$C$2,AQ$13&lt;($C$2+$C$5)),VLOOKUP("Mileage Assumption",MileTab,MATCH(AQ$12,Input!$A$13:$U$13,0),FALSE)*VLOOKUP("Electricity",FuelTab,MATCH(Main!AQ$13,Input!$A$79:$AK$79),FALSE)/(VLOOKUP($C$1&amp;" - Electric",EconTab,MATCH($C$2,Input!$A$43:$Q$43),FALSE)),0)</f>
        <v>0</v>
      </c>
      <c r="AR20" s="38">
        <f>IF(AND(AR$13&gt;=$C$2,AR$13&lt;($C$2+$C$5)),VLOOKUP("Mileage Assumption",MileTab,MATCH(AR$12,Input!$A$13:$U$13,0),FALSE)*VLOOKUP("Electricity",FuelTab,MATCH(Main!AR$13,Input!$A$79:$AK$79),FALSE)/(VLOOKUP($C$1&amp;" - Electric",EconTab,MATCH($C$2,Input!$A$43:$Q$43),FALSE)),0)</f>
        <v>0</v>
      </c>
      <c r="AS20" s="38">
        <f>IF(AND(AS$13&gt;=$C$2,AS$13&lt;($C$2+$C$5)),VLOOKUP("Mileage Assumption",MileTab,MATCH(AS$12,Input!$A$13:$U$13,0),FALSE)*VLOOKUP("Electricity",FuelTab,MATCH(Main!AS$13,Input!$A$79:$AK$79),FALSE)/(VLOOKUP($C$1&amp;" - Electric",EconTab,MATCH($C$2,Input!$A$43:$Q$43),FALSE)),0)</f>
        <v>0</v>
      </c>
      <c r="AT20" s="39">
        <f t="shared" si="8"/>
        <v>119535.08309363667</v>
      </c>
      <c r="AU20" s="40">
        <f t="shared" si="19"/>
        <v>150850.77399380811</v>
      </c>
      <c r="AV20" s="47">
        <f>IF(AND(AV$13&gt;=$C$2,AV$13&lt;($C$2+$C$5)),VLOOKUP("Mileage Assumption",MileTab,MATCH(AV$12,Input!$A$13:$U$13,0),FALSE)*VLOOKUP("Hydrogen",FuelTab,MATCH(AV$13,Input!$A$79:$AK$79),FALSE)/(VLOOKUP($C$1 &amp;" - Hydrogen",EconTab,MATCH($C$2,Input!$A$43:$Q$43),FALSE)),0)</f>
        <v>15172.75541795666</v>
      </c>
      <c r="AW20" s="38">
        <f>IF(AND(AW$13&gt;=$C$2,AW$13&lt;($C$2+$C$5)),VLOOKUP("Mileage Assumption",MileTab,MATCH(AW$12,Input!$A$13:$U$13,0),FALSE)*VLOOKUP("Hydrogen",FuelTab,MATCH(AW$13,Input!$A$79:$AK$79),FALSE)/(VLOOKUP($C$1 &amp;" - Hydrogen",EconTab,MATCH($C$2,Input!$A$43:$Q$43),FALSE)),0)</f>
        <v>14699.690402476783</v>
      </c>
      <c r="AX20" s="38">
        <f>IF(AND(AX$13&gt;=$C$2,AX$13&lt;($C$2+$C$5)),VLOOKUP("Mileage Assumption",MileTab,MATCH(AX$12,Input!$A$13:$U$13,0),FALSE)*VLOOKUP("Hydrogen",FuelTab,MATCH(AX$13,Input!$A$79:$AK$79),FALSE)/(VLOOKUP($C$1 &amp;" - Hydrogen",EconTab,MATCH($C$2,Input!$A$43:$Q$43),FALSE)),0)</f>
        <v>14226.625386996908</v>
      </c>
      <c r="AY20" s="38">
        <f>IF(AND(AY$13&gt;=$C$2,AY$13&lt;($C$2+$C$5)),VLOOKUP("Mileage Assumption",MileTab,MATCH(AY$12,Input!$A$13:$U$13,0),FALSE)*VLOOKUP("Hydrogen",FuelTab,MATCH(AY$13,Input!$A$79:$AK$79),FALSE)/(VLOOKUP($C$1 &amp;" - Hydrogen",EconTab,MATCH($C$2,Input!$A$43:$Q$43),FALSE)),0)</f>
        <v>13753.560371517031</v>
      </c>
      <c r="AZ20" s="38">
        <f>IF(AND(AZ$13&gt;=$C$2,AZ$13&lt;($C$2+$C$5)),VLOOKUP("Mileage Assumption",MileTab,MATCH(AZ$12,Input!$A$13:$U$13,0),FALSE)*VLOOKUP("Hydrogen",FuelTab,MATCH(AZ$13,Input!$A$79:$AK$79),FALSE)/(VLOOKUP($C$1 &amp;" - Hydrogen",EconTab,MATCH($C$2,Input!$A$43:$Q$43),FALSE)),0)</f>
        <v>13280.495356037154</v>
      </c>
      <c r="BA20" s="38">
        <f>IF(AND(BA$13&gt;=$C$2,BA$13&lt;($C$2+$C$5)),VLOOKUP("Mileage Assumption",MileTab,MATCH(BA$12,Input!$A$13:$U$13,0),FALSE)*VLOOKUP("Hydrogen",FuelTab,MATCH(BA$13,Input!$A$79:$AK$79),FALSE)/(VLOOKUP($C$1 &amp;" - Hydrogen",EconTab,MATCH($C$2,Input!$A$43:$Q$43),FALSE)),0)</f>
        <v>12807.430340557279</v>
      </c>
      <c r="BB20" s="38">
        <f>IF(AND(BB$13&gt;=$C$2,BB$13&lt;($C$2+$C$5)),VLOOKUP("Mileage Assumption",MileTab,MATCH(BB$12,Input!$A$13:$U$13,0),FALSE)*VLOOKUP("Hydrogen",FuelTab,MATCH(BB$13,Input!$A$79:$AK$79),FALSE)/(VLOOKUP($C$1 &amp;" - Hydrogen",EconTab,MATCH($C$2,Input!$A$43:$Q$43),FALSE)),0)</f>
        <v>12334.365325077402</v>
      </c>
      <c r="BC20" s="38">
        <f>IF(AND(BC$13&gt;=$C$2,BC$13&lt;($C$2+$C$5)),VLOOKUP("Mileage Assumption",MileTab,MATCH(BC$12,Input!$A$13:$U$13,0),FALSE)*VLOOKUP("Hydrogen",FuelTab,MATCH(BC$13,Input!$A$79:$AK$79),FALSE)/(VLOOKUP($C$1 &amp;" - Hydrogen",EconTab,MATCH($C$2,Input!$A$43:$Q$43),FALSE)),0)</f>
        <v>11861.300309597525</v>
      </c>
      <c r="BD20" s="38">
        <f>IF(AND(BD$13&gt;=$C$2,BD$13&lt;($C$2+$C$5)),VLOOKUP("Mileage Assumption",MileTab,MATCH(BD$12,Input!$A$13:$U$13,0),FALSE)*VLOOKUP("Hydrogen",FuelTab,MATCH(BD$13,Input!$A$79:$AK$79),FALSE)/(VLOOKUP($C$1 &amp;" - Hydrogen",EconTab,MATCH($C$2,Input!$A$43:$Q$43),FALSE)),0)</f>
        <v>11388.23529411765</v>
      </c>
      <c r="BE20" s="38">
        <f>IF(AND(BE$13&gt;=$C$2,BE$13&lt;($C$2+$C$5)),VLOOKUP("Mileage Assumption",MileTab,MATCH(BE$12,Input!$A$13:$U$13,0),FALSE)*VLOOKUP("Hydrogen",FuelTab,MATCH(BE$13,Input!$A$79:$AK$79),FALSE)/(VLOOKUP($C$1 &amp;" - Hydrogen",EconTab,MATCH($C$2,Input!$A$43:$Q$43),FALSE)),0)</f>
        <v>10915.170278637774</v>
      </c>
      <c r="BF20" s="38">
        <f>IF(AND(BF$13&gt;=$C$2,BF$13&lt;($C$2+$C$5)),VLOOKUP("Mileage Assumption",MileTab,MATCH(BF$12,Input!$A$13:$U$13,0),FALSE)*VLOOKUP("Hydrogen",FuelTab,MATCH(BF$13,Input!$A$79:$AK$79),FALSE)/(VLOOKUP($C$1 &amp;" - Hydrogen",EconTab,MATCH($C$2,Input!$A$43:$Q$43),FALSE)),0)</f>
        <v>10442.105263157897</v>
      </c>
      <c r="BG20" s="38">
        <f>IF(AND(BG$13&gt;=$C$2,BG$13&lt;($C$2+$C$5)),VLOOKUP("Mileage Assumption",MileTab,MATCH(BG$12,Input!$A$13:$U$13,0),FALSE)*VLOOKUP("Hydrogen",FuelTab,MATCH(BG$13,Input!$A$79:$AK$79),FALSE)/(VLOOKUP($C$1 &amp;" - Hydrogen",EconTab,MATCH($C$2,Input!$A$43:$Q$43),FALSE)),0)</f>
        <v>9969.04024767802</v>
      </c>
      <c r="BH20" s="38">
        <f>IF(AND(BH$13&gt;=$C$2,BH$13&lt;($C$2+$C$5)),VLOOKUP("Mileage Assumption",MileTab,MATCH(BH$12,Input!$A$13:$U$13,0),FALSE)*VLOOKUP("Hydrogen",FuelTab,MATCH(BH$13,Input!$A$79:$AK$79),FALSE)/(VLOOKUP($C$1 &amp;" - Hydrogen",EconTab,MATCH($C$2,Input!$A$43:$Q$43),FALSE)),0)</f>
        <v>0</v>
      </c>
      <c r="BI20" s="38">
        <f>IF(AND(BI$13&gt;=$C$2,BI$13&lt;($C$2+$C$5)),VLOOKUP("Mileage Assumption",MileTab,MATCH(BI$12,Input!$A$13:$U$13,0),FALSE)*VLOOKUP("Hydrogen",FuelTab,MATCH(BI$13,Input!$A$79:$AK$79),FALSE)/(VLOOKUP($C$1 &amp;" - Hydrogen",EconTab,MATCH($C$2,Input!$A$43:$Q$43),FALSE)),0)</f>
        <v>0</v>
      </c>
      <c r="BJ20" s="38">
        <f>IF(AND(BJ$13&gt;=$C$2,BJ$13&lt;($C$2+$C$5)),VLOOKUP("Mileage Assumption",MileTab,MATCH(BJ$12,Input!$A$13:$U$13,0),FALSE)*VLOOKUP("Hydrogen",FuelTab,MATCH(BJ$13,Input!$A$79:$AK$79),FALSE)/(VLOOKUP($C$1 &amp;" - Hydrogen",EconTab,MATCH($C$2,Input!$A$43:$Q$43),FALSE)),0)</f>
        <v>0</v>
      </c>
      <c r="BK20" s="38">
        <f>IF(AND(BK$13&gt;=$C$2,BK$13&lt;($C$2+$C$5)),VLOOKUP("Mileage Assumption",MileTab,MATCH(BK$12,Input!$A$13:$U$13,0),FALSE)*VLOOKUP("Hydrogen",FuelTab,MATCH(BK$13,Input!$A$79:$AK$79),FALSE)/(VLOOKUP($C$1 &amp;" - Hydrogen",EconTab,MATCH($C$2,Input!$A$43:$Q$43),FALSE)),0)</f>
        <v>0</v>
      </c>
      <c r="BL20" s="38">
        <f>IF(AND(BL$13&gt;=$C$2,BL$13&lt;($C$2+$C$5)),VLOOKUP("Mileage Assumption",MileTab,MATCH(BL$12,Input!$A$13:$U$13,0),FALSE)*VLOOKUP("Hydrogen",FuelTab,MATCH(BL$13,Input!$A$79:$AK$79),FALSE)/(VLOOKUP($C$1 &amp;" - Hydrogen",EconTab,MATCH($C$2,Input!$A$43:$Q$43),FALSE)),0)</f>
        <v>0</v>
      </c>
      <c r="BM20" s="38">
        <f>IF(AND(BM$13&gt;=$C$2,BM$13&lt;($C$2+$C$5)),VLOOKUP("Mileage Assumption",MileTab,MATCH(BM$12,Input!$A$13:$U$13,0),FALSE)*VLOOKUP("Hydrogen",FuelTab,MATCH(BM$13,Input!$A$79:$AK$79),FALSE)/(VLOOKUP($C$1 &amp;" - Hydrogen",EconTab,MATCH($C$2,Input!$A$43:$Q$43),FALSE)),0)</f>
        <v>0</v>
      </c>
      <c r="BN20" s="38">
        <f>IF(AND(BN$13&gt;=$C$2,BN$13&lt;($C$2+$C$5)),VLOOKUP("Mileage Assumption",MileTab,MATCH(BN$12,Input!$A$13:$U$13,0),FALSE)*VLOOKUP("Hydrogen",FuelTab,MATCH(BN$13,Input!$A$79:$AK$79),FALSE)/(VLOOKUP($C$1 &amp;" - Hydrogen",EconTab,MATCH($C$2,Input!$A$43:$Q$43),FALSE)),0)</f>
        <v>0</v>
      </c>
      <c r="BO20" s="48">
        <f>IF(AND(BO$13&gt;=$C$2,BO$13&lt;($C$2+$C$5)),VLOOKUP("Mileage Assumption",MileTab,MATCH(BO$12,Input!$A$13:$U$13,0),FALSE)*VLOOKUP("Hydrogen",FuelTab,MATCH(BO$13,Input!$A$79:$AK$79),FALSE)/(VLOOKUP($C$1 &amp;" - Hydrogen",EconTab,MATCH($C$2,Input!$A$43:$Q$43),FALSE)),0)</f>
        <v>0</v>
      </c>
      <c r="BW20" s="75"/>
      <c r="BX20" s="75"/>
    </row>
    <row r="21" spans="1:91" x14ac:dyDescent="0.25">
      <c r="A21" s="65" t="s">
        <v>51</v>
      </c>
      <c r="B21" s="32">
        <f t="shared" si="3"/>
        <v>0</v>
      </c>
      <c r="C21" s="33">
        <f t="shared" si="18"/>
        <v>0</v>
      </c>
      <c r="D21" s="41">
        <f>IF(AND(D$13&gt;=$C$2,D$13&lt;($C$2+$C$5)),VLOOKUP("Mileage Assumption",MileTab,MATCH(D$12,Input!$A$13:$U$13,0),FALSE)*VLOOKUP("Diesel",LCFSTab,MATCH(D$13,Input!$A$100:$AK$100),FALSE)/(VLOOKUP($C$1 &amp; " - Diesel",EconTab,MATCH($C$2,Input!$A$43:$Q$43),FALSE)),0)*($Y$6/100)</f>
        <v>0</v>
      </c>
      <c r="E21" s="41">
        <f>IF(AND(E$13&gt;=$C$2,E$13&lt;($C$2+$C$5)),VLOOKUP("Mileage Assumption",MileTab,MATCH(E$12,Input!$A$13:$U$13,0),FALSE)*VLOOKUP("Diesel",LCFSTab,MATCH(E$13,Input!$A$100:$AK$100),FALSE)/(VLOOKUP($C$1 &amp; " - Diesel",EconTab,MATCH($C$2,Input!$A$43:$Q$43),FALSE)),0)*($Y$6/100)</f>
        <v>0</v>
      </c>
      <c r="F21" s="41">
        <f>IF(AND(F$13&gt;=$C$2,F$13&lt;($C$2+$C$5)),VLOOKUP("Mileage Assumption",MileTab,MATCH(F$12,Input!$A$13:$U$13,0),FALSE)*VLOOKUP("Diesel",LCFSTab,MATCH(F$13,Input!$A$100:$AK$100),FALSE)/(VLOOKUP($C$1 &amp; " - Diesel",EconTab,MATCH($C$2,Input!$A$43:$Q$43),FALSE)),0)*($Y$6/100)</f>
        <v>0</v>
      </c>
      <c r="G21" s="41">
        <f>IF(AND(G$13&gt;=$C$2,G$13&lt;($C$2+$C$5)),VLOOKUP("Mileage Assumption",MileTab,MATCH(G$12,Input!$A$13:$U$13,0),FALSE)*VLOOKUP("Diesel",LCFSTab,MATCH(G$13,Input!$A$100:$AK$100),FALSE)/(VLOOKUP($C$1 &amp; " - Diesel",EconTab,MATCH($C$2,Input!$A$43:$Q$43),FALSE)),0)*($Y$6/100)</f>
        <v>0</v>
      </c>
      <c r="H21" s="41">
        <f>IF(AND(H$13&gt;=$C$2,H$13&lt;($C$2+$C$5)),VLOOKUP("Mileage Assumption",MileTab,MATCH(H$12,Input!$A$13:$U$13,0),FALSE)*VLOOKUP("Diesel",LCFSTab,MATCH(H$13,Input!$A$100:$AK$100),FALSE)/(VLOOKUP($C$1 &amp; " - Diesel",EconTab,MATCH($C$2,Input!$A$43:$Q$43),FALSE)),0)*($Y$6/100)</f>
        <v>0</v>
      </c>
      <c r="I21" s="41">
        <f>IF(AND(I$13&gt;=$C$2,I$13&lt;($C$2+$C$5)),VLOOKUP("Mileage Assumption",MileTab,MATCH(I$12,Input!$A$13:$U$13,0),FALSE)*VLOOKUP("Diesel",LCFSTab,MATCH(I$13,Input!$A$100:$AK$100),FALSE)/(VLOOKUP($C$1 &amp; " - Diesel",EconTab,MATCH($C$2,Input!$A$43:$Q$43),FALSE)),0)*($Y$6/100)</f>
        <v>0</v>
      </c>
      <c r="J21" s="41">
        <f>IF(AND(J$13&gt;=$C$2,J$13&lt;($C$2+$C$5)),VLOOKUP("Mileage Assumption",MileTab,MATCH(J$12,Input!$A$13:$U$13,0),FALSE)*VLOOKUP("Diesel",LCFSTab,MATCH(J$13,Input!$A$100:$AK$100),FALSE)/(VLOOKUP($C$1 &amp; " - Diesel",EconTab,MATCH($C$2,Input!$A$43:$Q$43),FALSE)),0)*($Y$6/100)</f>
        <v>0</v>
      </c>
      <c r="K21" s="41">
        <f>IF(AND(K$13&gt;=$C$2,K$13&lt;($C$2+$C$5)),VLOOKUP("Mileage Assumption",MileTab,MATCH(K$12,Input!$A$13:$U$13,0),FALSE)*VLOOKUP("Diesel",LCFSTab,MATCH(K$13,Input!$A$100:$AK$100),FALSE)/(VLOOKUP($C$1 &amp; " - Diesel",EconTab,MATCH($C$2,Input!$A$43:$Q$43),FALSE)),0)*($Y$6/100)</f>
        <v>0</v>
      </c>
      <c r="L21" s="41">
        <f>IF(AND(L$13&gt;=$C$2,L$13&lt;($C$2+$C$5)),VLOOKUP("Mileage Assumption",MileTab,MATCH(L$12,Input!$A$13:$U$13,0),FALSE)*VLOOKUP("Diesel",LCFSTab,MATCH(L$13,Input!$A$100:$AK$100),FALSE)/(VLOOKUP($C$1 &amp; " - Diesel",EconTab,MATCH($C$2,Input!$A$43:$Q$43),FALSE)),0)*($Y$6/100)</f>
        <v>0</v>
      </c>
      <c r="M21" s="41">
        <f>IF(AND(M$13&gt;=$C$2,M$13&lt;($C$2+$C$5)),VLOOKUP("Mileage Assumption",MileTab,MATCH(M$12,Input!$A$13:$U$13,0),FALSE)*VLOOKUP("Diesel",LCFSTab,MATCH(M$13,Input!$A$100:$AK$100),FALSE)/(VLOOKUP($C$1 &amp; " - Diesel",EconTab,MATCH($C$2,Input!$A$43:$Q$43),FALSE)),0)*($Y$6/100)</f>
        <v>0</v>
      </c>
      <c r="N21" s="41">
        <f>IF(AND(N$13&gt;=$C$2,N$13&lt;($C$2+$C$5)),VLOOKUP("Mileage Assumption",MileTab,MATCH(N$12,Input!$A$13:$U$13,0),FALSE)*VLOOKUP("Diesel",LCFSTab,MATCH(N$13,Input!$A$100:$AK$100),FALSE)/(VLOOKUP($C$1 &amp; " - Diesel",EconTab,MATCH($C$2,Input!$A$43:$Q$43),FALSE)),0)*($Y$6/100)</f>
        <v>0</v>
      </c>
      <c r="O21" s="41">
        <f>IF(AND(O$13&gt;=$C$2,O$13&lt;($C$2+$C$5)),VLOOKUP("Mileage Assumption",MileTab,MATCH(O$12,Input!$A$13:$U$13,0),FALSE)*VLOOKUP("Diesel",LCFSTab,MATCH(O$13,Input!$A$100:$AK$100),FALSE)/(VLOOKUP($C$1 &amp; " - Diesel",EconTab,MATCH($C$2,Input!$A$43:$Q$43),FALSE)),0)*($Y$6/100)</f>
        <v>0</v>
      </c>
      <c r="P21" s="41">
        <f>IF(AND(P$13&gt;=$C$2,P$13&lt;($C$2+$C$5)),VLOOKUP("Mileage Assumption",MileTab,MATCH(P$12,Input!$A$13:$U$13,0),FALSE)*VLOOKUP("Diesel",LCFSTab,MATCH(P$13,Input!$A$100:$AK$100),FALSE)/(VLOOKUP($C$1 &amp; " - Diesel",EconTab,MATCH($C$2,Input!$A$43:$Q$43),FALSE)),0)*($Y$6/100)</f>
        <v>0</v>
      </c>
      <c r="Q21" s="41">
        <f>IF(AND(Q$13&gt;=$C$2,Q$13&lt;($C$2+$C$5)),VLOOKUP("Mileage Assumption",MileTab,MATCH(Q$12,Input!$A$13:$U$13,0),FALSE)*VLOOKUP("Diesel",LCFSTab,MATCH(Q$13,Input!$A$100:$AK$100),FALSE)/(VLOOKUP($C$1 &amp; " - Diesel",EconTab,MATCH($C$2,Input!$A$43:$Q$43),FALSE)),0)*($Y$6/100)</f>
        <v>0</v>
      </c>
      <c r="R21" s="41">
        <f>IF(AND(R$13&gt;=$C$2,R$13&lt;($C$2+$C$5)),VLOOKUP("Mileage Assumption",MileTab,MATCH(R$12,Input!$A$13:$U$13,0),FALSE)*VLOOKUP("Diesel",LCFSTab,MATCH(R$13,Input!$A$100:$AK$100),FALSE)/(VLOOKUP($C$1 &amp; " - Diesel",EconTab,MATCH($C$2,Input!$A$43:$Q$43),FALSE)),0)*($Y$6/100)</f>
        <v>0</v>
      </c>
      <c r="S21" s="41">
        <f>IF(AND(S$13&gt;=$C$2,S$13&lt;($C$2+$C$5)),VLOOKUP("Mileage Assumption",MileTab,MATCH(S$12,Input!$A$13:$U$13,0),FALSE)*VLOOKUP("Diesel",LCFSTab,MATCH(S$13,Input!$A$100:$AK$100),FALSE)/(VLOOKUP($C$1 &amp; " - Diesel",EconTab,MATCH($C$2,Input!$A$43:$Q$43),FALSE)),0)*($Y$6/100)</f>
        <v>0</v>
      </c>
      <c r="T21" s="41">
        <f>IF(AND(T$13&gt;=$C$2,T$13&lt;($C$2+$C$5)),VLOOKUP("Mileage Assumption",MileTab,MATCH(T$12,Input!$A$13:$U$13,0),FALSE)*VLOOKUP("Diesel",LCFSTab,MATCH(T$13,Input!$A$100:$AK$100),FALSE)/(VLOOKUP($C$1 &amp; " - Diesel",EconTab,MATCH($C$2,Input!$A$43:$Q$43),FALSE)),0)*($Y$6/100)</f>
        <v>0</v>
      </c>
      <c r="U21" s="41">
        <f>IF(AND(U$13&gt;=$C$2,U$13&lt;($C$2+$C$5)),VLOOKUP("Mileage Assumption",MileTab,MATCH(U$12,Input!$A$13:$U$13,0),FALSE)*VLOOKUP("Diesel",LCFSTab,MATCH(U$13,Input!$A$100:$AK$100),FALSE)/(VLOOKUP($C$1 &amp; " - Diesel",EconTab,MATCH($C$2,Input!$A$43:$Q$43),FALSE)),0)*($Y$6/100)</f>
        <v>0</v>
      </c>
      <c r="V21" s="41">
        <f>IF(AND(V$13&gt;=$C$2,V$13&lt;($C$2+$C$5)),VLOOKUP("Mileage Assumption",MileTab,MATCH(V$12,Input!$A$13:$U$13,0),FALSE)*VLOOKUP("Diesel",LCFSTab,MATCH(V$13,Input!$A$100:$AK$100),FALSE)/(VLOOKUP($C$1 &amp; " - Diesel",EconTab,MATCH($C$2,Input!$A$43:$Q$43),FALSE)),0)*($Y$6/100)</f>
        <v>0</v>
      </c>
      <c r="W21" s="41">
        <f>IF(AND(W$13&gt;=$C$2,W$13&lt;($C$2+$C$5)),VLOOKUP("Mileage Assumption",MileTab,MATCH(W$12,Input!$A$13:$U$13,0),FALSE)*VLOOKUP("Diesel",LCFSTab,MATCH(W$13,Input!$A$100:$AK$100),FALSE)/(VLOOKUP($C$1 &amp; " - Diesel",EconTab,MATCH($C$2,Input!$A$43:$Q$43),FALSE)),0)*($Y$6/100)</f>
        <v>0</v>
      </c>
      <c r="X21" s="16">
        <f t="shared" si="5"/>
        <v>-34088.282559353771</v>
      </c>
      <c r="Y21" s="17">
        <f t="shared" si="6"/>
        <v>-43480.800000000003</v>
      </c>
      <c r="Z21" s="41">
        <f>-IF(AND(Z$13&gt;=$C$2,Z$13&lt;($C$2+$C$5)),VLOOKUP("Mileage Assumption",MileTab,MATCH(Z$12,Input!$A$13:$U$13,0),FALSE)*VLOOKUP(IF($Y$27="Class 2B-3","Electricity - Class 2B-3","Electricity - Class 4-8"),LCFSTab,MATCH(Z$13,Input!$A$100:$AK$100),FALSE)/(VLOOKUP($C$1 &amp;" - Electric",EconTab,MATCH($C$2,Input!$A$43:$Q$43),FALSE)),0)*($Y$6/100)</f>
        <v>-4051.8143999999993</v>
      </c>
      <c r="AA21" s="41">
        <f>-IF(AND(AA$13&gt;=$C$2,AA$13&lt;($C$2+$C$5)),VLOOKUP("Mileage Assumption",MileTab,MATCH(AA$12,Input!$A$13:$U$13,0),FALSE)*VLOOKUP(IF($Y$27="Class 2B-3","Electricity - Class 2B-3","Electricity - Class 4-8"),LCFSTab,MATCH(AA$13,Input!$A$100:$AK$100),FALSE)/(VLOOKUP($C$1 &amp;" - Electric",EconTab,MATCH($C$2,Input!$A$43:$Q$43),FALSE)),0)*($Y$6/100)</f>
        <v>-3909.7728000000002</v>
      </c>
      <c r="AB21" s="41">
        <f>-IF(AND(AB$13&gt;=$C$2,AB$13&lt;($C$2+$C$5)),VLOOKUP("Mileage Assumption",MileTab,MATCH(AB$12,Input!$A$13:$U$13,0),FALSE)*VLOOKUP(IF($Y$27="Class 2B-3","Electricity - Class 2B-3","Electricity - Class 4-8"),LCFSTab,MATCH(AB$13,Input!$A$100:$AK$100),FALSE)/(VLOOKUP($C$1 &amp;" - Electric",EconTab,MATCH($C$2,Input!$A$43:$Q$43),FALSE)),0)*($Y$6/100)</f>
        <v>-3844.9728000000009</v>
      </c>
      <c r="AC21" s="41">
        <f>-IF(AND(AC$13&gt;=$C$2,AC$13&lt;($C$2+$C$5)),VLOOKUP("Mileage Assumption",MileTab,MATCH(AC$12,Input!$A$13:$U$13,0),FALSE)*VLOOKUP(IF($Y$27="Class 2B-3","Electricity - Class 2B-3","Electricity - Class 4-8"),LCFSTab,MATCH(AC$13,Input!$A$100:$AK$100),FALSE)/(VLOOKUP($C$1 &amp;" - Electric",EconTab,MATCH($C$2,Input!$A$43:$Q$43),FALSE)),0)*($Y$6/100)</f>
        <v>-3779.6543999999994</v>
      </c>
      <c r="AD21" s="41">
        <f>-IF(AND(AD$13&gt;=$C$2,AD$13&lt;($C$2+$C$5)),VLOOKUP("Mileage Assumption",MileTab,MATCH(AD$12,Input!$A$13:$U$13,0),FALSE)*VLOOKUP(IF($Y$27="Class 2B-3","Electricity - Class 2B-3","Electricity - Class 4-8"),LCFSTab,MATCH(AD$13,Input!$A$100:$AK$100),FALSE)/(VLOOKUP($C$1 &amp;" - Electric",EconTab,MATCH($C$2,Input!$A$43:$Q$43),FALSE)),0)*($Y$6/100)</f>
        <v>-3714.8544000000002</v>
      </c>
      <c r="AE21" s="41">
        <f>-IF(AND(AE$13&gt;=$C$2,AE$13&lt;($C$2+$C$5)),VLOOKUP("Mileage Assumption",MileTab,MATCH(AE$12,Input!$A$13:$U$13,0),FALSE)*VLOOKUP(IF($Y$27="Class 2B-3","Electricity - Class 2B-3","Electricity - Class 4-8"),LCFSTab,MATCH(AE$13,Input!$A$100:$AK$100),FALSE)/(VLOOKUP($C$1 &amp;" - Electric",EconTab,MATCH($C$2,Input!$A$43:$Q$43),FALSE)),0)*($Y$6/100)</f>
        <v>-3649.5360000000001</v>
      </c>
      <c r="AF21" s="41">
        <f>-IF(AND(AF$13&gt;=$C$2,AF$13&lt;($C$2+$C$5)),VLOOKUP("Mileage Assumption",MileTab,MATCH(AF$12,Input!$A$13:$U$13,0),FALSE)*VLOOKUP(IF($Y$27="Class 2B-3","Electricity - Class 2B-3","Electricity - Class 4-8"),LCFSTab,MATCH(AF$13,Input!$A$100:$AK$100),FALSE)/(VLOOKUP($C$1 &amp;" - Electric",EconTab,MATCH($C$2,Input!$A$43:$Q$43),FALSE)),0)*($Y$6/100)</f>
        <v>-3584.2175999999999</v>
      </c>
      <c r="AG21" s="41">
        <f>-IF(AND(AG$13&gt;=$C$2,AG$13&lt;($C$2+$C$5)),VLOOKUP("Mileage Assumption",MileTab,MATCH(AG$12,Input!$A$13:$U$13,0),FALSE)*VLOOKUP(IF($Y$27="Class 2B-3","Electricity - Class 2B-3","Electricity - Class 4-8"),LCFSTab,MATCH(AG$13,Input!$A$100:$AK$100),FALSE)/(VLOOKUP($C$1 &amp;" - Electric",EconTab,MATCH($C$2,Input!$A$43:$Q$43),FALSE)),0)*($Y$6/100)</f>
        <v>-3519.4175999999998</v>
      </c>
      <c r="AH21" s="41">
        <f>-IF(AND(AH$13&gt;=$C$2,AH$13&lt;($C$2+$C$5)),VLOOKUP("Mileage Assumption",MileTab,MATCH(AH$12,Input!$A$13:$U$13,0),FALSE)*VLOOKUP(IF($Y$27="Class 2B-3","Electricity - Class 2B-3","Electricity - Class 4-8"),LCFSTab,MATCH(AH$13,Input!$A$100:$AK$100),FALSE)/(VLOOKUP($C$1 &amp;" - Electric",EconTab,MATCH($C$2,Input!$A$43:$Q$43),FALSE)),0)*($Y$6/100)</f>
        <v>-3454.0992000000001</v>
      </c>
      <c r="AI21" s="41">
        <f>-IF(AND(AI$13&gt;=$C$2,AI$13&lt;($C$2+$C$5)),VLOOKUP("Mileage Assumption",MileTab,MATCH(AI$12,Input!$A$13:$U$13,0),FALSE)*VLOOKUP(IF($Y$27="Class 2B-3","Electricity - Class 2B-3","Electricity - Class 4-8"),LCFSTab,MATCH(AI$13,Input!$A$100:$AK$100),FALSE)/(VLOOKUP($C$1 &amp;" - Electric",EconTab,MATCH($C$2,Input!$A$43:$Q$43),FALSE)),0)*($Y$6/100)</f>
        <v>-3389.2991999999995</v>
      </c>
      <c r="AJ21" s="41">
        <f>-IF(AND(AJ$13&gt;=$C$2,AJ$13&lt;($C$2+$C$5)),VLOOKUP("Mileage Assumption",MileTab,MATCH(AJ$12,Input!$A$13:$U$13,0),FALSE)*VLOOKUP(IF($Y$27="Class 2B-3","Electricity - Class 2B-3","Electricity - Class 4-8"),LCFSTab,MATCH(AJ$13,Input!$A$100:$AK$100),FALSE)/(VLOOKUP($C$1 &amp;" - Electric",EconTab,MATCH($C$2,Input!$A$43:$Q$43),FALSE)),0)*($Y$6/100)</f>
        <v>-3323.9808000000003</v>
      </c>
      <c r="AK21" s="41">
        <f>-IF(AND(AK$13&gt;=$C$2,AK$13&lt;($C$2+$C$5)),VLOOKUP("Mileage Assumption",MileTab,MATCH(AK$12,Input!$A$13:$U$13,0),FALSE)*VLOOKUP(IF($Y$27="Class 2B-3","Electricity - Class 2B-3","Electricity - Class 4-8"),LCFSTab,MATCH(AK$13,Input!$A$100:$AK$100),FALSE)/(VLOOKUP($C$1 &amp;" - Electric",EconTab,MATCH($C$2,Input!$A$43:$Q$43),FALSE)),0)*($Y$6/100)</f>
        <v>-3259.1808000000001</v>
      </c>
      <c r="AL21" s="41">
        <f>-IF(AND(AL$13&gt;=$C$2,AL$13&lt;($C$2+$C$5)),VLOOKUP("Mileage Assumption",MileTab,MATCH(AL$12,Input!$A$13:$U$13,0),FALSE)*VLOOKUP(IF($Y$27="Class 2B-3","Electricity - Class 2B-3","Electricity - Class 4-8"),LCFSTab,MATCH(AL$13,Input!$A$100:$AK$100),FALSE)/(VLOOKUP($C$1 &amp;" - Electric",EconTab,MATCH($C$2,Input!$A$43:$Q$43),FALSE)),0)*($Y$6/100)</f>
        <v>0</v>
      </c>
      <c r="AM21" s="41">
        <f>-IF(AND(AM$13&gt;=$C$2,AM$13&lt;($C$2+$C$5)),VLOOKUP("Mileage Assumption",MileTab,MATCH(AM$12,Input!$A$13:$U$13,0),FALSE)*VLOOKUP(IF($Y$27="Class 2B-3","Electricity - Class 2B-3","Electricity - Class 4-8"),LCFSTab,MATCH(AM$13,Input!$A$100:$AK$100),FALSE)/(VLOOKUP($C$1 &amp;" - Electric",EconTab,MATCH($C$2,Input!$A$43:$Q$43),FALSE)),0)*($Y$6/100)</f>
        <v>0</v>
      </c>
      <c r="AN21" s="41">
        <f>-IF(AND(AN$13&gt;=$C$2,AN$13&lt;($C$2+$C$5)),VLOOKUP("Mileage Assumption",MileTab,MATCH(AN$12,Input!$A$13:$U$13,0),FALSE)*VLOOKUP(IF($Y$27="Class 2B-3","Electricity - Class 2B-3","Electricity - Class 4-8"),LCFSTab,MATCH(AN$13,Input!$A$100:$AK$100),FALSE)/(VLOOKUP($C$1 &amp;" - Electric",EconTab,MATCH($C$2,Input!$A$43:$Q$43),FALSE)),0)*($Y$6/100)</f>
        <v>0</v>
      </c>
      <c r="AO21" s="41">
        <f>-IF(AND(AO$13&gt;=$C$2,AO$13&lt;($C$2+$C$5)),VLOOKUP("Mileage Assumption",MileTab,MATCH(AO$12,Input!$A$13:$U$13,0),FALSE)*VLOOKUP(IF($Y$27="Class 2B-3","Electricity - Class 2B-3","Electricity - Class 4-8"),LCFSTab,MATCH(AO$13,Input!$A$100:$AK$100),FALSE)/(VLOOKUP($C$1 &amp;" - Electric",EconTab,MATCH($C$2,Input!$A$43:$Q$43),FALSE)),0)*($Y$6/100)</f>
        <v>0</v>
      </c>
      <c r="AP21" s="41">
        <f>-IF(AND(AP$13&gt;=$C$2,AP$13&lt;($C$2+$C$5)),VLOOKUP("Mileage Assumption",MileTab,MATCH(AP$12,Input!$A$13:$U$13,0),FALSE)*VLOOKUP(IF($Y$27="Class 2B-3","Electricity - Class 2B-3","Electricity - Class 4-8"),LCFSTab,MATCH(AP$13,Input!$A$100:$AK$100),FALSE)/(VLOOKUP($C$1 &amp;" - Electric",EconTab,MATCH($C$2,Input!$A$43:$Q$43),FALSE)),0)*($Y$6/100)</f>
        <v>0</v>
      </c>
      <c r="AQ21" s="41">
        <f>-IF(AND(AQ$13&gt;=$C$2,AQ$13&lt;($C$2+$C$5)),VLOOKUP("Mileage Assumption",MileTab,MATCH(AQ$12,Input!$A$13:$U$13,0),FALSE)*VLOOKUP(IF($Y$27="Class 2B-3","Electricity - Class 2B-3","Electricity - Class 4-8"),LCFSTab,MATCH(AQ$13,Input!$A$100:$AK$100),FALSE)/(VLOOKUP($C$1 &amp;" - Electric",EconTab,MATCH($C$2,Input!$A$43:$Q$43),FALSE)),0)*($Y$6/100)</f>
        <v>0</v>
      </c>
      <c r="AR21" s="41">
        <f>-IF(AND(AR$13&gt;=$C$2,AR$13&lt;($C$2+$C$5)),VLOOKUP("Mileage Assumption",MileTab,MATCH(AR$12,Input!$A$13:$U$13,0),FALSE)*VLOOKUP(IF($Y$27="Class 2B-3","Electricity - Class 2B-3","Electricity - Class 4-8"),LCFSTab,MATCH(AR$13,Input!$A$100:$AK$100),FALSE)/(VLOOKUP($C$1 &amp;" - Electric",EconTab,MATCH($C$2,Input!$A$43:$Q$43),FALSE)),0)*($Y$6/100)</f>
        <v>0</v>
      </c>
      <c r="AS21" s="41">
        <f>-IF(AND(AS$13&gt;=$C$2,AS$13&lt;($C$2+$C$5)),VLOOKUP("Mileage Assumption",MileTab,MATCH(AS$12,Input!$A$13:$U$13,0),FALSE)*VLOOKUP(IF($Y$27="Class 2B-3","Electricity - Class 2B-3","Electricity - Class 4-8"),LCFSTab,MATCH(AS$13,Input!$A$100:$AK$100),FALSE)/(VLOOKUP($C$1 &amp;" - Electric",EconTab,MATCH($C$2,Input!$A$43:$Q$43),FALSE)),0)*($Y$6/100)</f>
        <v>0</v>
      </c>
      <c r="AT21" s="16">
        <f t="shared" si="8"/>
        <v>-13655.954337091051</v>
      </c>
      <c r="AU21" s="17">
        <f t="shared" si="19"/>
        <v>-17266.788858204331</v>
      </c>
      <c r="AV21" s="51">
        <f>-IF(AND(AV$13&gt;=$C$2,AV$13&lt;($C$2+$C$5)),VLOOKUP("Mileage Assumption",MileTab,MATCH(AV$12,Input!$A$13:$U$13,0),FALSE)*VLOOKUP(IF($AU$27="Class 2B-3","Hydrogen - Class 2B-3","Hydrogen - Class 4-8"),LCFSTab,MATCH(AV$13,Input!$A$100:$AK$100),FALSE)/(VLOOKUP($C$1 &amp;" - Hydrogen",EconTab,MATCH($C$2,Input!$A$43:$Q$43),FALSE)),0)*($Y$6/100)</f>
        <v>-1683.9817244582036</v>
      </c>
      <c r="AW21" s="41">
        <f>-IF(AND(AW$13&gt;=$C$2,AW$13&lt;($C$2+$C$5)),$C$3*$C$4*VLOOKUP(IF($AU$27="Class 2B-3","Hydrogen - Class 2B-3","Hydrogen - Class 4-8"),LCFSTab,MATCH(AW$13,Input!$A$100:$AK$100),FALSE)/(VLOOKUP($C$1 &amp;" - Hydrogen",EconTab,MATCH($C$2,Input!$A$43:$Q$43),FALSE)),0)*($Y$6/100)</f>
        <v>-1670.6953421052622</v>
      </c>
      <c r="AX21" s="41">
        <f>-IF(AND(AX$13&gt;=$C$2,AX$13&lt;($C$2+$C$5)),$C$3*$C$4*VLOOKUP(IF($AU$27="Class 2B-3","Hydrogen - Class 2B-3","Hydrogen - Class 4-8"),LCFSTab,MATCH(AX$13,Input!$A$100:$AK$100),FALSE)/(VLOOKUP($C$1 &amp;" - Hydrogen",EconTab,MATCH($C$2,Input!$A$43:$Q$43),FALSE)),0)*($Y$6/100)</f>
        <v>-1619.8800397523219</v>
      </c>
      <c r="AY21" s="41">
        <f>-IF(AND(AY$13&gt;=$C$2,AY$13&lt;($C$2+$C$5)),$C$3*$C$4*VLOOKUP(IF($AU$27="Class 2B-3","Hydrogen - Class 2B-3","Hydrogen - Class 4-8"),LCFSTab,MATCH(AY$13,Input!$A$100:$AK$100),FALSE)/(VLOOKUP($C$1 &amp;" - Hydrogen",EconTab,MATCH($C$2,Input!$A$43:$Q$43),FALSE)),0)*($Y$6/100)</f>
        <v>-1569.0647373993802</v>
      </c>
      <c r="AZ21" s="41">
        <f>-IF(AND(AZ$13&gt;=$C$2,AZ$13&lt;($C$2+$C$5)),$C$3*$C$4*VLOOKUP(IF($AU$27="Class 2B-3","Hydrogen - Class 2B-3","Hydrogen - Class 4-8"),LCFSTab,MATCH(AZ$13,Input!$A$100:$AK$100),FALSE)/(VLOOKUP($C$1 &amp;" - Hydrogen",EconTab,MATCH($C$2,Input!$A$43:$Q$43),FALSE)),0)*($Y$6/100)</f>
        <v>-1518.2494350464392</v>
      </c>
      <c r="BA21" s="41">
        <f>-IF(AND(BA$13&gt;=$C$2,BA$13&lt;($C$2+$C$5)),$C$3*$C$4*VLOOKUP(IF($AU$27="Class 2B-3","Hydrogen - Class 2B-3","Hydrogen - Class 4-8"),LCFSTab,MATCH(BA$13,Input!$A$100:$AK$100),FALSE)/(VLOOKUP($C$1 &amp;" - Hydrogen",EconTab,MATCH($C$2,Input!$A$43:$Q$43),FALSE)),0)*($Y$6/100)</f>
        <v>-1467.4341326934987</v>
      </c>
      <c r="BB21" s="41">
        <f>-IF(AND(BB$13&gt;=$C$2,BB$13&lt;($C$2+$C$5)),$C$3*$C$4*VLOOKUP(IF($AU$27="Class 2B-3","Hydrogen - Class 2B-3","Hydrogen - Class 4-8"),LCFSTab,MATCH(BB$13,Input!$A$100:$AK$100),FALSE)/(VLOOKUP($C$1 &amp;" - Hydrogen",EconTab,MATCH($C$2,Input!$A$43:$Q$43),FALSE)),0)*($Y$6/100)</f>
        <v>-1416.618830340557</v>
      </c>
      <c r="BC21" s="41">
        <f>-IF(AND(BC$13&gt;=$C$2,BC$13&lt;($C$2+$C$5)),$C$3*$C$4*VLOOKUP(IF($AU$27="Class 2B-3","Hydrogen - Class 2B-3","Hydrogen - Class 4-8"),LCFSTab,MATCH(BC$13,Input!$A$100:$AK$100),FALSE)/(VLOOKUP($C$1 &amp;" - Hydrogen",EconTab,MATCH($C$2,Input!$A$43:$Q$43),FALSE)),0)*($Y$6/100)</f>
        <v>-1365.8035279876153</v>
      </c>
      <c r="BD21" s="41">
        <f>-IF(AND(BD$13&gt;=$C$2,BD$13&lt;($C$2+$C$5)),$C$3*$C$4*VLOOKUP(IF($AU$27="Class 2B-3","Hydrogen - Class 2B-3","Hydrogen - Class 4-8"),LCFSTab,MATCH(BD$13,Input!$A$100:$AK$100),FALSE)/(VLOOKUP($C$1 &amp;" - Hydrogen",EconTab,MATCH($C$2,Input!$A$43:$Q$43),FALSE)),0)*($Y$6/100)</f>
        <v>-1314.9882256346748</v>
      </c>
      <c r="BE21" s="41">
        <f>-IF(AND(BE$13&gt;=$C$2,BE$13&lt;($C$2+$C$5)),$C$3*$C$4*VLOOKUP(IF($AU$27="Class 2B-3","Hydrogen - Class 2B-3","Hydrogen - Class 4-8"),LCFSTab,MATCH(BE$13,Input!$A$100:$AK$100),FALSE)/(VLOOKUP($C$1 &amp;" - Hydrogen",EconTab,MATCH($C$2,Input!$A$43:$Q$43),FALSE)),0)*($Y$6/100)</f>
        <v>-1264.172923281734</v>
      </c>
      <c r="BF21" s="41">
        <f>-IF(AND(BF$13&gt;=$C$2,BF$13&lt;($C$2+$C$5)),$C$3*$C$4*VLOOKUP(IF($AU$27="Class 2B-3","Hydrogen - Class 2B-3","Hydrogen - Class 4-8"),LCFSTab,MATCH(BF$13,Input!$A$100:$AK$100),FALSE)/(VLOOKUP($C$1 &amp;" - Hydrogen",EconTab,MATCH($C$2,Input!$A$43:$Q$43),FALSE)),0)*($Y$6/100)</f>
        <v>-1213.3576209287926</v>
      </c>
      <c r="BG21" s="41">
        <f>-IF(AND(BG$13&gt;=$C$2,BG$13&lt;($C$2+$C$5)),$C$3*$C$4*VLOOKUP(IF($AU$27="Class 2B-3","Hydrogen - Class 2B-3","Hydrogen - Class 4-8"),LCFSTab,MATCH(BG$13,Input!$A$100:$AK$100),FALSE)/(VLOOKUP($C$1 &amp;" - Hydrogen",EconTab,MATCH($C$2,Input!$A$43:$Q$43),FALSE)),0)*($Y$6/100)</f>
        <v>-1162.5423185758516</v>
      </c>
      <c r="BH21" s="41">
        <f>-IF(AND(BH$13&gt;=$C$2,BH$13&lt;($C$2+$C$5)),$C$3*$C$4*VLOOKUP(IF($AU$27="Class 2B-3","Hydrogen - Class 2B-3","Hydrogen - Class 4-8"),LCFSTab,MATCH(BH$13,Input!$A$100:$AK$100),FALSE)/(VLOOKUP($C$1 &amp;" - Hydrogen",EconTab,MATCH($C$2,Input!$A$43:$Q$43),FALSE)),0)*($Y$6/100)</f>
        <v>0</v>
      </c>
      <c r="BI21" s="41">
        <f>-IF(AND(BI$13&gt;=$C$2,BI$13&lt;($C$2+$C$5)),$C$3*$C$4*VLOOKUP(IF($AU$27="Class 2B-3","Hydrogen - Class 2B-3","Hydrogen - Class 4-8"),LCFSTab,MATCH(BI$13,Input!$A$100:$AK$100),FALSE)/(VLOOKUP($C$1 &amp;" - Hydrogen",EconTab,MATCH($C$2,Input!$A$43:$Q$43),FALSE)),0)*($Y$6/100)</f>
        <v>0</v>
      </c>
      <c r="BJ21" s="41">
        <f>-IF(AND(BJ$13&gt;=$C$2,BJ$13&lt;($C$2+$C$5)),$C$3*$C$4*VLOOKUP(IF($AU$27="Class 2B-3","Hydrogen - Class 2B-3","Hydrogen - Class 4-8"),LCFSTab,MATCH(BJ$13,Input!$A$100:$AK$100),FALSE)/(VLOOKUP($C$1 &amp;" - Hydrogen",EconTab,MATCH($C$2,Input!$A$43:$Q$43),FALSE)),0)*($Y$6/100)</f>
        <v>0</v>
      </c>
      <c r="BK21" s="41">
        <f>-IF(AND(BK$13&gt;=$C$2,BK$13&lt;($C$2+$C$5)),$C$3*$C$4*VLOOKUP(IF($AU$27="Class 2B-3","Hydrogen - Class 2B-3","Hydrogen - Class 4-8"),LCFSTab,MATCH(BK$13,Input!$A$100:$AK$100),FALSE)/(VLOOKUP($C$1 &amp;" - Hydrogen",EconTab,MATCH($C$2,Input!$A$43:$Q$43),FALSE)),0)*($Y$6/100)</f>
        <v>0</v>
      </c>
      <c r="BL21" s="41">
        <f>-IF(AND(BL$13&gt;=$C$2,BL$13&lt;($C$2+$C$5)),$C$3*$C$4*VLOOKUP(IF($AU$27="Class 2B-3","Hydrogen - Class 2B-3","Hydrogen - Class 4-8"),LCFSTab,MATCH(BL$13,Input!$A$100:$AK$100),FALSE)/(VLOOKUP($C$1 &amp;" - Hydrogen",EconTab,MATCH($C$2,Input!$A$43:$Q$43),FALSE)),0)*($Y$6/100)</f>
        <v>0</v>
      </c>
      <c r="BM21" s="41">
        <f>-IF(AND(BM$13&gt;=$C$2,BM$13&lt;($C$2+$C$5)),$C$3*$C$4*VLOOKUP(IF($AU$27="Class 2B-3","Hydrogen - Class 2B-3","Hydrogen - Class 4-8"),LCFSTab,MATCH(BM$13,Input!$A$100:$AK$100),FALSE)/(VLOOKUP($C$1 &amp;" - Hydrogen",EconTab,MATCH($C$2,Input!$A$43:$Q$43),FALSE)),0)*($Y$6/100)</f>
        <v>0</v>
      </c>
      <c r="BN21" s="41">
        <f>-IF(AND(BN$13&gt;=$C$2,BN$13&lt;($C$2+$C$5)),$C$3*$C$4*VLOOKUP(IF($AU$27="Class 2B-3","Hydrogen - Class 2B-3","Hydrogen - Class 4-8"),LCFSTab,MATCH(BN$13,Input!$A$100:$AK$100),FALSE)/(VLOOKUP($C$1 &amp;" - Hydrogen",EconTab,MATCH($C$2,Input!$A$43:$Q$43),FALSE)),0)*($Y$6/100)</f>
        <v>0</v>
      </c>
      <c r="BO21" s="52">
        <f>-IF(AND(BO$13&gt;=$C$2,BO$13&lt;($C$2+$C$5)),$C$3*$C$4*VLOOKUP(IF($AU$27="Class 2B-3","Hydrogen - Class 2B-3","Hydrogen - Class 4-8"),LCFSTab,MATCH(BO$13,Input!$A$100:$AK$100),FALSE)/(VLOOKUP($C$1 &amp;" - Hydrogen",EconTab,MATCH($C$2,Input!$A$43:$Q$43),FALSE)),0)*($Y$6/100)</f>
        <v>0</v>
      </c>
    </row>
    <row r="22" spans="1:91" x14ac:dyDescent="0.25">
      <c r="A22" s="64" t="s">
        <v>3</v>
      </c>
      <c r="B22" s="42">
        <f t="shared" si="3"/>
        <v>49137.867072472181</v>
      </c>
      <c r="C22" s="43">
        <f t="shared" si="18"/>
        <v>63360</v>
      </c>
      <c r="D22" s="44">
        <f>IF(AND(D$13&gt;=$C$2,D$13&lt;($C$2+$C$5)),VLOOKUP("Mileage Assumption",MileTab,MATCH(D$12,Input!$A$13:$U$13,0),FALSE)*(VLOOKUP($C$1,VehTab,4,FALSE)),0)</f>
        <v>5280</v>
      </c>
      <c r="E22" s="44">
        <f>IF(AND(E$13&gt;=$C$2,E$13&lt;($C$2+$C$5)),VLOOKUP("Mileage Assumption",MileTab,MATCH(E$12,Input!$A$13:$U$13,0),FALSE)*(VLOOKUP($C$1,VehTab,4,FALSE)),0)</f>
        <v>5280</v>
      </c>
      <c r="F22" s="44">
        <f>IF(AND(F$13&gt;=$C$2,F$13&lt;($C$2+$C$5)),VLOOKUP("Mileage Assumption",MileTab,MATCH(F$12,Input!$A$13:$U$13,0),FALSE)*(VLOOKUP($C$1,VehTab,4,FALSE)),0)</f>
        <v>5280</v>
      </c>
      <c r="G22" s="44">
        <f>IF(AND(G$13&gt;=$C$2,G$13&lt;($C$2+$C$5)),VLOOKUP("Mileage Assumption",MileTab,MATCH(G$12,Input!$A$13:$U$13,0),FALSE)*(VLOOKUP($C$1,VehTab,4,FALSE)),0)</f>
        <v>5280</v>
      </c>
      <c r="H22" s="44">
        <f>IF(AND(H$13&gt;=$C$2,H$13&lt;($C$2+$C$5)),VLOOKUP("Mileage Assumption",MileTab,MATCH(H$12,Input!$A$13:$U$13,0),FALSE)*(VLOOKUP($C$1,VehTab,4,FALSE)),0)</f>
        <v>5280</v>
      </c>
      <c r="I22" s="44">
        <f>IF(AND(I$13&gt;=$C$2,I$13&lt;($C$2+$C$5)),VLOOKUP("Mileage Assumption",MileTab,MATCH(I$12,Input!$A$13:$U$13,0),FALSE)*(VLOOKUP($C$1,VehTab,4,FALSE)),0)</f>
        <v>5280</v>
      </c>
      <c r="J22" s="44">
        <f>IF(AND(J$13&gt;=$C$2,J$13&lt;($C$2+$C$5)),VLOOKUP("Mileage Assumption",MileTab,MATCH(J$12,Input!$A$13:$U$13,0),FALSE)*(VLOOKUP($C$1,VehTab,4,FALSE)),0)</f>
        <v>5280</v>
      </c>
      <c r="K22" s="44">
        <f>IF(AND(K$13&gt;=$C$2,K$13&lt;($C$2+$C$5)),VLOOKUP("Mileage Assumption",MileTab,MATCH(K$12,Input!$A$13:$U$13,0),FALSE)*(VLOOKUP($C$1,VehTab,4,FALSE)),0)</f>
        <v>5280</v>
      </c>
      <c r="L22" s="44">
        <f>IF(AND(L$13&gt;=$C$2,L$13&lt;($C$2+$C$5)),VLOOKUP("Mileage Assumption",MileTab,MATCH(L$12,Input!$A$13:$U$13,0),FALSE)*(VLOOKUP($C$1,VehTab,4,FALSE)),0)</f>
        <v>5280</v>
      </c>
      <c r="M22" s="44">
        <f>IF(AND(M$13&gt;=$C$2,M$13&lt;($C$2+$C$5)),VLOOKUP("Mileage Assumption",MileTab,MATCH(M$12,Input!$A$13:$U$13,0),FALSE)*(VLOOKUP($C$1,VehTab,4,FALSE)),0)</f>
        <v>5280</v>
      </c>
      <c r="N22" s="44">
        <f>IF(AND(N$13&gt;=$C$2,N$13&lt;($C$2+$C$5)),VLOOKUP("Mileage Assumption",MileTab,MATCH(N$12,Input!$A$13:$U$13,0),FALSE)*(VLOOKUP($C$1,VehTab,4,FALSE)),0)</f>
        <v>5280</v>
      </c>
      <c r="O22" s="44">
        <f>IF(AND(O$13&gt;=$C$2,O$13&lt;($C$2+$C$5)),VLOOKUP("Mileage Assumption",MileTab,MATCH(O$12,Input!$A$13:$U$13,0),FALSE)*(VLOOKUP($C$1,VehTab,4,FALSE)),0)</f>
        <v>5280</v>
      </c>
      <c r="P22" s="44">
        <f>IF(AND(P$13&gt;=$C$2,P$13&lt;($C$2+$C$5)),VLOOKUP("Mileage Assumption",MileTab,MATCH(P$12,Input!$A$13:$U$13,0),FALSE)*(VLOOKUP($C$1,VehTab,4,FALSE)),0)</f>
        <v>0</v>
      </c>
      <c r="Q22" s="44">
        <f>IF(AND(Q$13&gt;=$C$2,Q$13&lt;($C$2+$C$5)),VLOOKUP("Mileage Assumption",MileTab,MATCH(Q$12,Input!$A$13:$U$13,0),FALSE)*(VLOOKUP($C$1,VehTab,4,FALSE)),0)</f>
        <v>0</v>
      </c>
      <c r="R22" s="44">
        <f>IF(AND(R$13&gt;=$C$2,R$13&lt;($C$2+$C$5)),VLOOKUP("Mileage Assumption",MileTab,MATCH(R$12,Input!$A$13:$U$13,0),FALSE)*(VLOOKUP($C$1,VehTab,4,FALSE)),0)</f>
        <v>0</v>
      </c>
      <c r="S22" s="44">
        <f>IF(AND(S$13&gt;=$C$2,S$13&lt;($C$2+$C$5)),VLOOKUP("Mileage Assumption",MileTab,MATCH(S$12,Input!$A$13:$U$13,0),FALSE)*(VLOOKUP($C$1,VehTab,4,FALSE)),0)</f>
        <v>0</v>
      </c>
      <c r="T22" s="44">
        <f>IF(AND(T$13&gt;=$C$2,T$13&lt;($C$2+$C$5)),VLOOKUP("Mileage Assumption",MileTab,MATCH(T$12,Input!$A$13:$U$13,0),FALSE)*(VLOOKUP($C$1,VehTab,4,FALSE)),0)</f>
        <v>0</v>
      </c>
      <c r="U22" s="44">
        <f>IF(AND(U$13&gt;=$C$2,U$13&lt;($C$2+$C$5)),VLOOKUP("Mileage Assumption",MileTab,MATCH(U$12,Input!$A$13:$U$13,0),FALSE)*(VLOOKUP($C$1,VehTab,4,FALSE)),0)</f>
        <v>0</v>
      </c>
      <c r="V22" s="44">
        <f>IF(AND(V$13&gt;=$C$2,V$13&lt;($C$2+$C$5)),VLOOKUP("Mileage Assumption",MileTab,MATCH(V$12,Input!$A$13:$U$13,0),FALSE)*(VLOOKUP($C$1,VehTab,4,FALSE)),0)</f>
        <v>0</v>
      </c>
      <c r="W22" s="44">
        <f>IF(AND(W$13&gt;=$C$2,W$13&lt;($C$2+$C$5)),VLOOKUP("Mileage Assumption",MileTab,MATCH(W$12,Input!$A$13:$U$13,0),FALSE)*(VLOOKUP($C$1,VehTab,4,FALSE)),0)</f>
        <v>0</v>
      </c>
      <c r="X22" s="45">
        <f t="shared" si="5"/>
        <v>36853.400304354145</v>
      </c>
      <c r="Y22" s="46">
        <f t="shared" si="6"/>
        <v>47520</v>
      </c>
      <c r="Z22" s="44">
        <f>IF(AND(Z$13&gt;=$C$2,Z$13&lt;($C$2+$C$5)),VLOOKUP("Mileage Assumption",MileTab,MATCH(Z$12,Input!$A$13:$U$13,0),FALSE)*VLOOKUP($C$1,VehTab,4,FALSE),0)*(1-$Y$7)</f>
        <v>3960</v>
      </c>
      <c r="AA22" s="44">
        <f>IF(AND(AA$13&gt;=$C$2,AA$13&lt;($C$2+$C$5)),VLOOKUP("Mileage Assumption",MileTab,MATCH(AA$12,Input!$A$13:$U$13,0),FALSE)*VLOOKUP($C$1,VehTab,4,FALSE),0)*(1-$Y$7)</f>
        <v>3960</v>
      </c>
      <c r="AB22" s="44">
        <f>IF(AND(AB$13&gt;=$C$2,AB$13&lt;($C$2+$C$5)),VLOOKUP("Mileage Assumption",MileTab,MATCH(AB$12,Input!$A$13:$U$13,0),FALSE)*VLOOKUP($C$1,VehTab,4,FALSE),0)*(1-$Y$7)</f>
        <v>3960</v>
      </c>
      <c r="AC22" s="44">
        <f>IF(AND(AC$13&gt;=$C$2,AC$13&lt;($C$2+$C$5)),VLOOKUP("Mileage Assumption",MileTab,MATCH(AC$12,Input!$A$13:$U$13,0),FALSE)*VLOOKUP($C$1,VehTab,4,FALSE),0)*(1-$Y$7)</f>
        <v>3960</v>
      </c>
      <c r="AD22" s="44">
        <f>IF(AND(AD$13&gt;=$C$2,AD$13&lt;($C$2+$C$5)),VLOOKUP("Mileage Assumption",MileTab,MATCH(AD$12,Input!$A$13:$U$13,0),FALSE)*VLOOKUP($C$1,VehTab,4,FALSE),0)*(1-$Y$7)</f>
        <v>3960</v>
      </c>
      <c r="AE22" s="44">
        <f>IF(AND(AE$13&gt;=$C$2,AE$13&lt;($C$2+$C$5)),VLOOKUP("Mileage Assumption",MileTab,MATCH(AE$12,Input!$A$13:$U$13,0),FALSE)*VLOOKUP($C$1,VehTab,4,FALSE),0)*(1-$Y$7)</f>
        <v>3960</v>
      </c>
      <c r="AF22" s="44">
        <f>IF(AND(AF$13&gt;=$C$2,AF$13&lt;($C$2+$C$5)),VLOOKUP("Mileage Assumption",MileTab,MATCH(AF$12,Input!$A$13:$U$13,0),FALSE)*VLOOKUP($C$1,VehTab,4,FALSE),0)*(1-$Y$7)</f>
        <v>3960</v>
      </c>
      <c r="AG22" s="44">
        <f>IF(AND(AG$13&gt;=$C$2,AG$13&lt;($C$2+$C$5)),VLOOKUP("Mileage Assumption",MileTab,MATCH(AG$12,Input!$A$13:$U$13,0),FALSE)*VLOOKUP($C$1,VehTab,4,FALSE),0)*(1-$Y$7)</f>
        <v>3960</v>
      </c>
      <c r="AH22" s="44">
        <f>IF(AND(AH$13&gt;=$C$2,AH$13&lt;($C$2+$C$5)),VLOOKUP("Mileage Assumption",MileTab,MATCH(AH$12,Input!$A$13:$U$13,0),FALSE)*VLOOKUP($C$1,VehTab,4,FALSE),0)*(1-$Y$7)</f>
        <v>3960</v>
      </c>
      <c r="AI22" s="44">
        <f>IF(AND(AI$13&gt;=$C$2,AI$13&lt;($C$2+$C$5)),VLOOKUP("Mileage Assumption",MileTab,MATCH(AI$12,Input!$A$13:$U$13,0),FALSE)*VLOOKUP($C$1,VehTab,4,FALSE),0)*(1-$Y$7)</f>
        <v>3960</v>
      </c>
      <c r="AJ22" s="44">
        <f>IF(AND(AJ$13&gt;=$C$2,AJ$13&lt;($C$2+$C$5)),VLOOKUP("Mileage Assumption",MileTab,MATCH(AJ$12,Input!$A$13:$U$13,0),FALSE)*VLOOKUP($C$1,VehTab,4,FALSE),0)*(1-$Y$7)</f>
        <v>3960</v>
      </c>
      <c r="AK22" s="44">
        <f>IF(AND(AK$13&gt;=$C$2,AK$13&lt;($C$2+$C$5)),VLOOKUP("Mileage Assumption",MileTab,MATCH(AK$12,Input!$A$13:$U$13,0),FALSE)*VLOOKUP($C$1,VehTab,4,FALSE),0)*(1-$Y$7)</f>
        <v>3960</v>
      </c>
      <c r="AL22" s="44">
        <f>IF(AND(AL$13&gt;=$C$2,AL$13&lt;($C$2+$C$5)),VLOOKUP("Mileage Assumption",MileTab,MATCH(AL$12,Input!$A$13:$U$13,0),FALSE)*VLOOKUP($C$1,VehTab,4,FALSE),0)*(1-$Y$7)</f>
        <v>0</v>
      </c>
      <c r="AM22" s="44">
        <f>IF(AND(AM$13&gt;=$C$2,AM$13&lt;($C$2+$C$5)),VLOOKUP("Mileage Assumption",MileTab,MATCH(AM$12,Input!$A$13:$U$13,0),FALSE)*VLOOKUP($C$1,VehTab,4,FALSE),0)*(1-$Y$7)</f>
        <v>0</v>
      </c>
      <c r="AN22" s="44">
        <f>IF(AND(AN$13&gt;=$C$2,AN$13&lt;($C$2+$C$5)),VLOOKUP("Mileage Assumption",MileTab,MATCH(AN$12,Input!$A$13:$U$13,0),FALSE)*VLOOKUP($C$1,VehTab,4,FALSE),0)*(1-$Y$7)</f>
        <v>0</v>
      </c>
      <c r="AO22" s="44">
        <f>IF(AND(AO$13&gt;=$C$2,AO$13&lt;($C$2+$C$5)),VLOOKUP("Mileage Assumption",MileTab,MATCH(AO$12,Input!$A$13:$U$13,0),FALSE)*VLOOKUP($C$1,VehTab,4,FALSE),0)*(1-$Y$7)</f>
        <v>0</v>
      </c>
      <c r="AP22" s="44">
        <f>IF(AND(AP$13&gt;=$C$2,AP$13&lt;($C$2+$C$5)),VLOOKUP("Mileage Assumption",MileTab,MATCH(AP$12,Input!$A$13:$U$13,0),FALSE)*VLOOKUP($C$1,VehTab,4,FALSE),0)*(1-$Y$7)</f>
        <v>0</v>
      </c>
      <c r="AQ22" s="44">
        <f>IF(AND(AQ$13&gt;=$C$2,AQ$13&lt;($C$2+$C$5)),VLOOKUP("Mileage Assumption",MileTab,MATCH(AQ$12,Input!$A$13:$U$13,0),FALSE)*VLOOKUP($C$1,VehTab,4,FALSE),0)*(1-$Y$7)</f>
        <v>0</v>
      </c>
      <c r="AR22" s="44">
        <f>IF(AND(AR$13&gt;=$C$2,AR$13&lt;($C$2+$C$5)),VLOOKUP("Mileage Assumption",MileTab,MATCH(AR$12,Input!$A$13:$U$13,0),FALSE)*VLOOKUP($C$1,VehTab,4,FALSE),0)*(1-$Y$7)</f>
        <v>0</v>
      </c>
      <c r="AS22" s="44">
        <f>IF(AND(AS$13&gt;=$C$2,AS$13&lt;($C$2+$C$5)),VLOOKUP("Mileage Assumption",MileTab,MATCH(AS$12,Input!$A$13:$U$13,0),FALSE)*VLOOKUP($C$1,VehTab,4,FALSE),0)*(1-$Y$7)</f>
        <v>0</v>
      </c>
      <c r="AT22" s="45">
        <f t="shared" si="8"/>
        <v>49137.867072472181</v>
      </c>
      <c r="AU22" s="46">
        <f t="shared" si="19"/>
        <v>63360</v>
      </c>
      <c r="AV22" s="49">
        <f>IF(AND(AV$13&gt;=$C$2,AV$13&lt;($C$2+$C$5)),VLOOKUP("Mileage Assumption",MileTab,MATCH(AV$12,Input!$A$13:$U$13,0),FALSE)*VLOOKUP($C$1,VehTab,4,FALSE),0)*(1-$AU$7)</f>
        <v>5280</v>
      </c>
      <c r="AW22" s="44">
        <f t="shared" ref="AW22:BO22" si="20">IF(AND(AW$13&gt;=$C$2,AW$13&lt;($C$2+$C$5)),$C$3*$C$4*VLOOKUP($C$1,VehTab,4,FALSE),0)*(1-$AU$7)</f>
        <v>5280</v>
      </c>
      <c r="AX22" s="44">
        <f t="shared" si="20"/>
        <v>5280</v>
      </c>
      <c r="AY22" s="44">
        <f t="shared" si="20"/>
        <v>5280</v>
      </c>
      <c r="AZ22" s="44">
        <f t="shared" si="20"/>
        <v>5280</v>
      </c>
      <c r="BA22" s="44">
        <f t="shared" si="20"/>
        <v>5280</v>
      </c>
      <c r="BB22" s="44">
        <f t="shared" si="20"/>
        <v>5280</v>
      </c>
      <c r="BC22" s="44">
        <f t="shared" si="20"/>
        <v>5280</v>
      </c>
      <c r="BD22" s="44">
        <f t="shared" si="20"/>
        <v>5280</v>
      </c>
      <c r="BE22" s="44">
        <f t="shared" si="20"/>
        <v>5280</v>
      </c>
      <c r="BF22" s="44">
        <f t="shared" si="20"/>
        <v>5280</v>
      </c>
      <c r="BG22" s="44">
        <f t="shared" si="20"/>
        <v>5280</v>
      </c>
      <c r="BH22" s="44">
        <f t="shared" si="20"/>
        <v>0</v>
      </c>
      <c r="BI22" s="44">
        <f t="shared" si="20"/>
        <v>0</v>
      </c>
      <c r="BJ22" s="44">
        <f t="shared" si="20"/>
        <v>0</v>
      </c>
      <c r="BK22" s="44">
        <f t="shared" si="20"/>
        <v>0</v>
      </c>
      <c r="BL22" s="44">
        <f t="shared" si="20"/>
        <v>0</v>
      </c>
      <c r="BM22" s="44">
        <f t="shared" si="20"/>
        <v>0</v>
      </c>
      <c r="BN22" s="44">
        <f t="shared" si="20"/>
        <v>0</v>
      </c>
      <c r="BO22" s="50">
        <f t="shared" si="20"/>
        <v>0</v>
      </c>
    </row>
    <row r="23" spans="1:91" x14ac:dyDescent="0.25">
      <c r="A23" s="31" t="s">
        <v>1</v>
      </c>
      <c r="B23" s="32">
        <f t="shared" si="3"/>
        <v>0</v>
      </c>
      <c r="C23" s="33">
        <f t="shared" si="18"/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12">
        <f t="shared" si="5"/>
        <v>3733.8537717115996</v>
      </c>
      <c r="Y23" s="13">
        <f t="shared" si="6"/>
        <v>4814.555231441479</v>
      </c>
      <c r="Z23" s="41">
        <f>IF(AND(Z$13&gt;=$C$2,Z$13&lt;($C$2+$C$5)),-PMT($C$34,20,VLOOKUP(VLOOKUP($C$1,Input!$A$2:$E$10,2,FALSE),Input!$A$123:$C$125,2,FALSE)),0)</f>
        <v>401.21293595345657</v>
      </c>
      <c r="AA23" s="41">
        <f>IF(AND(AA$13&gt;=$C$2,AA$13&lt;($C$2+$C$5)),-PMT($C$34,20,VLOOKUP(VLOOKUP($C$1,Input!$A$2:$E$10,2,FALSE),Input!$A$123:$C$125,2,FALSE)),0)</f>
        <v>401.21293595345657</v>
      </c>
      <c r="AB23" s="41">
        <f>IF(AND(AB$13&gt;=$C$2,AB$13&lt;($C$2+$C$5)),-PMT($C$34,20,VLOOKUP(VLOOKUP($C$1,Input!$A$2:$E$10,2,FALSE),Input!$A$123:$C$125,2,FALSE)),0)</f>
        <v>401.21293595345657</v>
      </c>
      <c r="AC23" s="41">
        <f>IF(AND(AC$13&gt;=$C$2,AC$13&lt;($C$2+$C$5)),-PMT($C$34,20,VLOOKUP(VLOOKUP($C$1,Input!$A$2:$E$10,2,FALSE),Input!$A$123:$C$125,2,FALSE)),0)</f>
        <v>401.21293595345657</v>
      </c>
      <c r="AD23" s="41">
        <f>IF(AND(AD$13&gt;=$C$2,AD$13&lt;($C$2+$C$5)),-PMT($C$34,20,VLOOKUP(VLOOKUP($C$1,Input!$A$2:$E$10,2,FALSE),Input!$A$123:$C$125,2,FALSE)),0)</f>
        <v>401.21293595345657</v>
      </c>
      <c r="AE23" s="41">
        <f>IF(AND(AE$13&gt;=$C$2,AE$13&lt;($C$2+$C$5)),-PMT($C$34,20,VLOOKUP(VLOOKUP($C$1,Input!$A$2:$E$10,2,FALSE),Input!$A$123:$C$125,2,FALSE)),0)</f>
        <v>401.21293595345657</v>
      </c>
      <c r="AF23" s="41">
        <f>IF(AND(AF$13&gt;=$C$2,AF$13&lt;($C$2+$C$5)),-PMT($C$34,20,VLOOKUP(VLOOKUP($C$1,Input!$A$2:$E$10,2,FALSE),Input!$A$123:$C$125,2,FALSE)),0)</f>
        <v>401.21293595345657</v>
      </c>
      <c r="AG23" s="41">
        <f>IF(AND(AG$13&gt;=$C$2,AG$13&lt;($C$2+$C$5)),-PMT($C$34,20,VLOOKUP(VLOOKUP($C$1,Input!$A$2:$E$10,2,FALSE),Input!$A$123:$C$125,2,FALSE)),0)</f>
        <v>401.21293595345657</v>
      </c>
      <c r="AH23" s="41">
        <f>IF(AND(AH$13&gt;=$C$2,AH$13&lt;($C$2+$C$5)),-PMT($C$34,20,VLOOKUP(VLOOKUP($C$1,Input!$A$2:$E$10,2,FALSE),Input!$A$123:$C$125,2,FALSE)),0)</f>
        <v>401.21293595345657</v>
      </c>
      <c r="AI23" s="41">
        <f>IF(AND(AI$13&gt;=$C$2,AI$13&lt;($C$2+$C$5)),-PMT($C$34,20,VLOOKUP(VLOOKUP($C$1,Input!$A$2:$E$10,2,FALSE),Input!$A$123:$C$125,2,FALSE)),0)</f>
        <v>401.21293595345657</v>
      </c>
      <c r="AJ23" s="41">
        <f>IF(AND(AJ$13&gt;=$C$2,AJ$13&lt;($C$2+$C$5)),-PMT($C$34,20,VLOOKUP(VLOOKUP($C$1,Input!$A$2:$E$10,2,FALSE),Input!$A$123:$C$125,2,FALSE)),0)</f>
        <v>401.21293595345657</v>
      </c>
      <c r="AK23" s="41">
        <f>IF(AND(AK$13&gt;=$C$2,AK$13&lt;($C$2+$C$5)),-PMT($C$34,20,VLOOKUP(VLOOKUP($C$1,Input!$A$2:$E$10,2,FALSE),Input!$A$123:$C$125,2,FALSE)),0)</f>
        <v>401.21293595345657</v>
      </c>
      <c r="AL23" s="41">
        <f>IF(AND(AL$13&gt;=$C$2,AL$13&lt;($C$2+$C$5)),-PMT($C$34,20,VLOOKUP(VLOOKUP($C$1,Input!$A$2:$E$10,2,FALSE),Input!$A$123:$C$125,2,FALSE)),0)</f>
        <v>0</v>
      </c>
      <c r="AM23" s="41">
        <f>IF(AND(AM$13&gt;=$C$2,AM$13&lt;($C$2+$C$5)),-PMT($C$34,20,VLOOKUP(VLOOKUP($C$1,Input!$A$2:$E$10,2,FALSE),Input!$A$123:$C$125,2,FALSE)),0)</f>
        <v>0</v>
      </c>
      <c r="AN23" s="41">
        <f>IF(AND(AN$13&gt;=$C$2,AN$13&lt;($C$2+$C$5)),-PMT($C$34,20,VLOOKUP(VLOOKUP($C$1,Input!$A$2:$E$10,2,FALSE),Input!$A$123:$C$125,2,FALSE)),0)</f>
        <v>0</v>
      </c>
      <c r="AO23" s="41">
        <f>IF(AND(AO$13&gt;=$C$2,AO$13&lt;($C$2+$C$5)),-PMT($C$34,20,VLOOKUP(VLOOKUP($C$1,Input!$A$2:$E$10,2,FALSE),Input!$A$123:$C$125,2,FALSE)),0)</f>
        <v>0</v>
      </c>
      <c r="AP23" s="41">
        <f>IF(AND(AP$13&gt;=$C$2,AP$13&lt;($C$2+$C$5)),-PMT($C$34,20,VLOOKUP(VLOOKUP($C$1,Input!$A$2:$E$10,2,FALSE),Input!$A$123:$C$125,2,FALSE)),0)</f>
        <v>0</v>
      </c>
      <c r="AQ23" s="41">
        <f>IF(AND(AQ$13&gt;=$C$2,AQ$13&lt;($C$2+$C$5)),-PMT($C$34,20,VLOOKUP(VLOOKUP($C$1,Input!$A$2:$E$10,2,FALSE),Input!$A$123:$C$125,2,FALSE)),0)</f>
        <v>0</v>
      </c>
      <c r="AR23" s="41">
        <f>IF(AND(AR$13&gt;=$C$2,AR$13&lt;($C$2+$C$5)),-PMT($C$34,20,VLOOKUP(VLOOKUP($C$1,Input!$A$2:$E$10,2,FALSE),Input!$A$123:$C$125,2,FALSE)),0)</f>
        <v>0</v>
      </c>
      <c r="AS23" s="41">
        <f>IF(AND(AS$13&gt;=$C$2,AS$13&lt;($C$2+$C$5)),-PMT($C$34,20,VLOOKUP(VLOOKUP($C$1,Input!$A$2:$E$10,2,FALSE),Input!$A$123:$C$125,2,FALSE)),0)</f>
        <v>0</v>
      </c>
      <c r="AT23" s="12">
        <f t="shared" si="8"/>
        <v>0</v>
      </c>
      <c r="AU23" s="13">
        <f t="shared" si="19"/>
        <v>0</v>
      </c>
      <c r="AV23" s="51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52">
        <v>0</v>
      </c>
    </row>
    <row r="24" spans="1:91" ht="15.75" thickBot="1" x14ac:dyDescent="0.3">
      <c r="A24" s="22" t="s">
        <v>18</v>
      </c>
      <c r="B24" s="34">
        <f t="shared" si="3"/>
        <v>0</v>
      </c>
      <c r="C24" s="35">
        <f t="shared" si="18"/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14">
        <f t="shared" si="5"/>
        <v>14935.415086846398</v>
      </c>
      <c r="Y24" s="15">
        <f t="shared" si="6"/>
        <v>19258.220925765916</v>
      </c>
      <c r="Z24" s="59">
        <f>IF(AND(Z$13&gt;=$C$2,Z$13&lt;($C$2+$C$5)),-PMT($C$34,VLOOKUP("Infr. Ammortization Period",FixedTab,2,FALSE),VLOOKUP(VLOOKUP($C$1,Input!$A$2:$E$10,2,FALSE),Input!$A$123:$C$125,3,FALSE)),0)</f>
        <v>1604.8517438138263</v>
      </c>
      <c r="AA24" s="59">
        <f>IF(AND(AA$13&gt;=$C$2,AA$13&lt;($C$2+$C$5)),-PMT($C$34,VLOOKUP("Infr. Ammortization Period",FixedTab,2,FALSE),VLOOKUP(VLOOKUP($C$1,Input!$A$2:$E$10,2,FALSE),Input!$A$123:$C$125,3,FALSE)),0)</f>
        <v>1604.8517438138263</v>
      </c>
      <c r="AB24" s="59">
        <f>IF(AND(AB$13&gt;=$C$2,AB$13&lt;($C$2+$C$5)),-PMT($C$34,VLOOKUP("Infr. Ammortization Period",FixedTab,2,FALSE),VLOOKUP(VLOOKUP($C$1,Input!$A$2:$E$10,2,FALSE),Input!$A$123:$C$125,3,FALSE)),0)</f>
        <v>1604.8517438138263</v>
      </c>
      <c r="AC24" s="59">
        <f>IF(AND(AC$13&gt;=$C$2,AC$13&lt;($C$2+$C$5)),-PMT($C$34,VLOOKUP("Infr. Ammortization Period",FixedTab,2,FALSE),VLOOKUP(VLOOKUP($C$1,Input!$A$2:$E$10,2,FALSE),Input!$A$123:$C$125,3,FALSE)),0)</f>
        <v>1604.8517438138263</v>
      </c>
      <c r="AD24" s="59">
        <f>IF(AND(AD$13&gt;=$C$2,AD$13&lt;($C$2+$C$5)),-PMT($C$34,VLOOKUP("Infr. Ammortization Period",FixedTab,2,FALSE),VLOOKUP(VLOOKUP($C$1,Input!$A$2:$E$10,2,FALSE),Input!$A$123:$C$125,3,FALSE)),0)</f>
        <v>1604.8517438138263</v>
      </c>
      <c r="AE24" s="59">
        <f>IF(AND(AE$13&gt;=$C$2,AE$13&lt;($C$2+$C$5)),-PMT($C$34,VLOOKUP("Infr. Ammortization Period",FixedTab,2,FALSE),VLOOKUP(VLOOKUP($C$1,Input!$A$2:$E$10,2,FALSE),Input!$A$123:$C$125,3,FALSE)),0)</f>
        <v>1604.8517438138263</v>
      </c>
      <c r="AF24" s="59">
        <f>IF(AND(AF$13&gt;=$C$2,AF$13&lt;($C$2+$C$5)),-PMT($C$34,VLOOKUP("Infr. Ammortization Period",FixedTab,2,FALSE),VLOOKUP(VLOOKUP($C$1,Input!$A$2:$E$10,2,FALSE),Input!$A$123:$C$125,3,FALSE)),0)</f>
        <v>1604.8517438138263</v>
      </c>
      <c r="AG24" s="59">
        <f>IF(AND(AG$13&gt;=$C$2,AG$13&lt;($C$2+$C$5)),-PMT($C$34,VLOOKUP("Infr. Ammortization Period",FixedTab,2,FALSE),VLOOKUP(VLOOKUP($C$1,Input!$A$2:$E$10,2,FALSE),Input!$A$123:$C$125,3,FALSE)),0)</f>
        <v>1604.8517438138263</v>
      </c>
      <c r="AH24" s="59">
        <f>IF(AND(AH$13&gt;=$C$2,AH$13&lt;($C$2+$C$5)),-PMT($C$34,VLOOKUP("Infr. Ammortization Period",FixedTab,2,FALSE),VLOOKUP(VLOOKUP($C$1,Input!$A$2:$E$10,2,FALSE),Input!$A$123:$C$125,3,FALSE)),0)</f>
        <v>1604.8517438138263</v>
      </c>
      <c r="AI24" s="59">
        <f>IF(AND(AI$13&gt;=$C$2,AI$13&lt;($C$2+$C$5)),-PMT($C$34,VLOOKUP("Infr. Ammortization Period",FixedTab,2,FALSE),VLOOKUP(VLOOKUP($C$1,Input!$A$2:$E$10,2,FALSE),Input!$A$123:$C$125,3,FALSE)),0)</f>
        <v>1604.8517438138263</v>
      </c>
      <c r="AJ24" s="59">
        <f>IF(AND(AJ$13&gt;=$C$2,AJ$13&lt;($C$2+$C$5)),-PMT($C$34,VLOOKUP("Infr. Ammortization Period",FixedTab,2,FALSE),VLOOKUP(VLOOKUP($C$1,Input!$A$2:$E$10,2,FALSE),Input!$A$123:$C$125,3,FALSE)),0)</f>
        <v>1604.8517438138263</v>
      </c>
      <c r="AK24" s="59">
        <f>IF(AND(AK$13&gt;=$C$2,AK$13&lt;($C$2+$C$5)),-PMT($C$34,VLOOKUP("Infr. Ammortization Period",FixedTab,2,FALSE),VLOOKUP(VLOOKUP($C$1,Input!$A$2:$E$10,2,FALSE),Input!$A$123:$C$125,3,FALSE)),0)</f>
        <v>1604.8517438138263</v>
      </c>
      <c r="AL24" s="59">
        <f>IF(AND(AL$13&gt;=$C$2,AL$13&lt;($C$2+$C$5)),-PMT($C$34,VLOOKUP("Infr. Ammortization Period",FixedTab,2,FALSE),VLOOKUP(VLOOKUP($C$1,Input!$A$2:$E$10,2,FALSE),Input!$A$123:$C$125,3,FALSE)),0)</f>
        <v>0</v>
      </c>
      <c r="AM24" s="59">
        <f>IF(AND(AM$13&gt;=$C$2,AM$13&lt;($C$2+$C$5)),-PMT($C$34,VLOOKUP("Infr. Ammortization Period",FixedTab,2,FALSE),VLOOKUP(VLOOKUP($C$1,Input!$A$2:$E$10,2,FALSE),Input!$A$123:$C$125,3,FALSE)),0)</f>
        <v>0</v>
      </c>
      <c r="AN24" s="59">
        <f>IF(AND(AN$13&gt;=$C$2,AN$13&lt;($C$2+$C$5)),-PMT($C$34,VLOOKUP("Infr. Ammortization Period",FixedTab,2,FALSE),VLOOKUP(VLOOKUP($C$1,Input!$A$2:$E$10,2,FALSE),Input!$A$123:$C$125,3,FALSE)),0)</f>
        <v>0</v>
      </c>
      <c r="AO24" s="59">
        <f>IF(AND(AO$13&gt;=$C$2,AO$13&lt;($C$2+$C$5)),-PMT($C$34,VLOOKUP("Infr. Ammortization Period",FixedTab,2,FALSE),VLOOKUP(VLOOKUP($C$1,Input!$A$2:$E$10,2,FALSE),Input!$A$123:$C$125,3,FALSE)),0)</f>
        <v>0</v>
      </c>
      <c r="AP24" s="59">
        <f>IF(AND(AP$13&gt;=$C$2,AP$13&lt;($C$2+$C$5)),-PMT($C$34,VLOOKUP("Infr. Ammortization Period",FixedTab,2,FALSE),VLOOKUP(VLOOKUP($C$1,Input!$A$2:$E$10,2,FALSE),Input!$A$123:$C$125,3,FALSE)),0)</f>
        <v>0</v>
      </c>
      <c r="AQ24" s="59">
        <f>IF(AND(AQ$13&gt;=$C$2,AQ$13&lt;($C$2+$C$5)),-PMT($C$34,VLOOKUP("Infr. Ammortization Period",FixedTab,2,FALSE),VLOOKUP(VLOOKUP($C$1,Input!$A$2:$E$10,2,FALSE),Input!$A$123:$C$125,3,FALSE)),0)</f>
        <v>0</v>
      </c>
      <c r="AR24" s="59">
        <f>IF(AND(AR$13&gt;=$C$2,AR$13&lt;($C$2+$C$5)),-PMT($C$34,VLOOKUP("Infr. Ammortization Period",FixedTab,2,FALSE),VLOOKUP(VLOOKUP($C$1,Input!$A$2:$E$10,2,FALSE),Input!$A$123:$C$125,3,FALSE)),0)</f>
        <v>0</v>
      </c>
      <c r="AS24" s="59">
        <f>IF(AND(AS$13&gt;=$C$2,AS$13&lt;($C$2+$C$5)),-PMT($C$34,VLOOKUP("Infr. Ammortization Period",FixedTab,2,FALSE),VLOOKUP(VLOOKUP($C$1,Input!$A$2:$E$10,2,FALSE),Input!$A$123:$C$125,3,FALSE)),0)</f>
        <v>0</v>
      </c>
      <c r="AT24" s="14">
        <f t="shared" si="8"/>
        <v>0</v>
      </c>
      <c r="AU24" s="15">
        <f t="shared" si="19"/>
        <v>0</v>
      </c>
      <c r="AV24" s="60">
        <f>IF(AV$13=$C$2,VLOOKUP(VLOOKUP($C$1,Input!$A$2:$E$10,2,FALSE),Input!$A$123:$D$125,4,FALSE),0)</f>
        <v>0</v>
      </c>
      <c r="AW24" s="59">
        <f>IF(AW$13=$C$2,VLOOKUP(VLOOKUP($C$1,Input!$A$2:$E$10,2,FALSE),Input!$A$123:$D$125,4,FALSE),0)</f>
        <v>0</v>
      </c>
      <c r="AX24" s="59">
        <f>IF(AX$13=$C$2,VLOOKUP(VLOOKUP($C$1,Input!$A$2:$E$10,2,FALSE),Input!$A$123:$D$125,4,FALSE),0)</f>
        <v>0</v>
      </c>
      <c r="AY24" s="59">
        <f>IF(AY$13=$C$2,VLOOKUP(VLOOKUP($C$1,Input!$A$2:$E$10,2,FALSE),Input!$A$123:$D$125,4,FALSE),0)</f>
        <v>0</v>
      </c>
      <c r="AZ24" s="59">
        <f>IF(AZ$13=$C$2,VLOOKUP(VLOOKUP($C$1,Input!$A$2:$E$10,2,FALSE),Input!$A$123:$D$125,4,FALSE),0)</f>
        <v>0</v>
      </c>
      <c r="BA24" s="59">
        <f>IF(BA$13=$C$2,VLOOKUP(VLOOKUP($C$1,Input!$A$2:$E$10,2,FALSE),Input!$A$123:$D$125,4,FALSE),0)</f>
        <v>0</v>
      </c>
      <c r="BB24" s="59">
        <f>IF(BB$13=$C$2,VLOOKUP(VLOOKUP($C$1,Input!$A$2:$E$10,2,FALSE),Input!$A$123:$D$125,4,FALSE),0)</f>
        <v>0</v>
      </c>
      <c r="BC24" s="59">
        <f>IF(BC$13=$C$2,VLOOKUP(VLOOKUP($C$1,Input!$A$2:$E$10,2,FALSE),Input!$A$123:$D$125,4,FALSE),0)</f>
        <v>0</v>
      </c>
      <c r="BD24" s="59">
        <f>IF(BD$13=$C$2,VLOOKUP(VLOOKUP($C$1,Input!$A$2:$E$10,2,FALSE),Input!$A$123:$D$125,4,FALSE),0)</f>
        <v>0</v>
      </c>
      <c r="BE24" s="59">
        <f>IF(BE$13=$C$2,VLOOKUP(VLOOKUP($C$1,Input!$A$2:$E$10,2,FALSE),Input!$A$123:$D$125,4,FALSE),0)</f>
        <v>0</v>
      </c>
      <c r="BF24" s="59">
        <f>IF(BF$13=$C$2,VLOOKUP(VLOOKUP($C$1,Input!$A$2:$E$10,2,FALSE),Input!$A$123:$D$125,4,FALSE),0)</f>
        <v>0</v>
      </c>
      <c r="BG24" s="59">
        <f>IF(BG$13=$C$2,VLOOKUP(VLOOKUP($C$1,Input!$A$2:$E$10,2,FALSE),Input!$A$123:$D$125,4,FALSE),0)</f>
        <v>0</v>
      </c>
      <c r="BH24" s="59">
        <f>IF(BH$13=$C$2,VLOOKUP(VLOOKUP($C$1,Input!$A$2:$E$10,2,FALSE),Input!$A$123:$D$125,4,FALSE),0)</f>
        <v>0</v>
      </c>
      <c r="BI24" s="59">
        <f>IF(BI$13=$C$2,VLOOKUP(VLOOKUP($C$1,Input!$A$2:$E$10,2,FALSE),Input!$A$123:$D$125,4,FALSE),0)</f>
        <v>0</v>
      </c>
      <c r="BJ24" s="59">
        <f>IF(BJ$13=$C$2,VLOOKUP(VLOOKUP($C$1,Input!$A$2:$E$10,2,FALSE),Input!$A$123:$D$125,4,FALSE),0)</f>
        <v>0</v>
      </c>
      <c r="BK24" s="59">
        <f>IF(BK$13=$C$2,VLOOKUP(VLOOKUP($C$1,Input!$A$2:$E$10,2,FALSE),Input!$A$123:$D$125,4,FALSE),0)</f>
        <v>0</v>
      </c>
      <c r="BL24" s="59">
        <f>IF(BL$13=$C$2,VLOOKUP(VLOOKUP($C$1,Input!$A$2:$E$10,2,FALSE),Input!$A$123:$D$125,4,FALSE),0)</f>
        <v>0</v>
      </c>
      <c r="BM24" s="59">
        <f>IF(BM$13=$C$2,VLOOKUP(VLOOKUP($C$1,Input!$A$2:$E$10,2,FALSE),Input!$A$123:$D$125,4,FALSE),0)</f>
        <v>0</v>
      </c>
      <c r="BN24" s="59">
        <f>IF(BN$13=$C$2,VLOOKUP(VLOOKUP($C$1,Input!$A$2:$E$10,2,FALSE),Input!$A$123:$D$125,4,FALSE),0)</f>
        <v>0</v>
      </c>
      <c r="BO24" s="61">
        <f>IF(BO$13=$C$2,VLOOKUP(VLOOKUP($C$1,Input!$A$2:$E$10,2,FALSE),Input!$A$123:$D$125,4,FALSE),0)</f>
        <v>0</v>
      </c>
    </row>
    <row r="25" spans="1:91" x14ac:dyDescent="0.25">
      <c r="A25" s="66" t="s">
        <v>61</v>
      </c>
      <c r="B25" s="70">
        <f>SUM(B14:B24)</f>
        <v>228516.64891305598</v>
      </c>
      <c r="C25" s="54">
        <f>SUM(C14:C24)</f>
        <v>274029.17872150691</v>
      </c>
      <c r="D25" s="73">
        <f>SUM(D14:D24)</f>
        <v>38823.771258716108</v>
      </c>
      <c r="E25" s="74">
        <f>SUM(D25,E14:E24)</f>
        <v>71460.65266284399</v>
      </c>
      <c r="F25" s="74">
        <f t="shared" ref="F25:W25" si="21">SUM(E25,F14:F24)</f>
        <v>105035.63737991304</v>
      </c>
      <c r="G25" s="74">
        <f t="shared" si="21"/>
        <v>138993.04426168799</v>
      </c>
      <c r="H25" s="74">
        <f t="shared" si="21"/>
        <v>173046.77422958054</v>
      </c>
      <c r="I25" s="74">
        <f t="shared" si="21"/>
        <v>189075.47939428641</v>
      </c>
      <c r="J25" s="74">
        <f t="shared" si="21"/>
        <v>206172.566090757</v>
      </c>
      <c r="K25" s="74">
        <f t="shared" si="21"/>
        <v>223339.53812840406</v>
      </c>
      <c r="L25" s="74">
        <f t="shared" si="21"/>
        <v>240535.01251216876</v>
      </c>
      <c r="M25" s="74">
        <f t="shared" si="21"/>
        <v>257817.98237287463</v>
      </c>
      <c r="N25" s="74">
        <f t="shared" si="21"/>
        <v>275196.7928733452</v>
      </c>
      <c r="O25" s="74">
        <f t="shared" si="21"/>
        <v>292844.77555310988</v>
      </c>
      <c r="P25" s="74">
        <f t="shared" si="21"/>
        <v>274029.17872150685</v>
      </c>
      <c r="Q25" s="74">
        <f t="shared" si="21"/>
        <v>274029.17872150685</v>
      </c>
      <c r="R25" s="74">
        <f t="shared" si="21"/>
        <v>274029.17872150685</v>
      </c>
      <c r="S25" s="74">
        <f t="shared" si="21"/>
        <v>274029.17872150685</v>
      </c>
      <c r="T25" s="74">
        <f t="shared" si="21"/>
        <v>274029.17872150685</v>
      </c>
      <c r="U25" s="74">
        <f t="shared" si="21"/>
        <v>274029.17872150685</v>
      </c>
      <c r="V25" s="74">
        <f t="shared" si="21"/>
        <v>274029.17872150685</v>
      </c>
      <c r="W25" s="74">
        <f t="shared" si="21"/>
        <v>274029.17872150685</v>
      </c>
      <c r="X25" s="53">
        <f>SUM(X14:X24)</f>
        <v>232752.64705508473</v>
      </c>
      <c r="Y25" s="54">
        <f>SUM(Y14:Y24)</f>
        <v>264341.76190634328</v>
      </c>
      <c r="Z25" s="73">
        <f>SUM(Z14:Z24)</f>
        <v>53924.194439935811</v>
      </c>
      <c r="AA25" s="74">
        <f t="shared" ref="AA25:AS25" si="22">SUM(Z25,AA14:AA24)</f>
        <v>95878.171780071614</v>
      </c>
      <c r="AB25" s="74">
        <f t="shared" si="22"/>
        <v>137801.05669240744</v>
      </c>
      <c r="AC25" s="74">
        <f t="shared" si="22"/>
        <v>179801.42570686326</v>
      </c>
      <c r="AD25" s="74">
        <f t="shared" si="22"/>
        <v>221928.70405926116</v>
      </c>
      <c r="AE25" s="74">
        <f t="shared" si="22"/>
        <v>228991.59090127365</v>
      </c>
      <c r="AF25" s="74">
        <f t="shared" si="22"/>
        <v>236223.61800542785</v>
      </c>
      <c r="AG25" s="74">
        <f t="shared" si="22"/>
        <v>243497.89598308579</v>
      </c>
      <c r="AH25" s="74">
        <f t="shared" si="22"/>
        <v>250912.83641495544</v>
      </c>
      <c r="AI25" s="74">
        <f t="shared" si="22"/>
        <v>258463.86237500317</v>
      </c>
      <c r="AJ25" s="74">
        <f t="shared" si="22"/>
        <v>266063.85807155637</v>
      </c>
      <c r="AK25" s="74">
        <f t="shared" si="22"/>
        <v>273749.560322145</v>
      </c>
      <c r="AL25" s="74">
        <f t="shared" si="22"/>
        <v>264341.76190634345</v>
      </c>
      <c r="AM25" s="74">
        <f t="shared" si="22"/>
        <v>264341.76190634345</v>
      </c>
      <c r="AN25" s="74">
        <f t="shared" si="22"/>
        <v>264341.76190634345</v>
      </c>
      <c r="AO25" s="74">
        <f t="shared" si="22"/>
        <v>264341.76190634345</v>
      </c>
      <c r="AP25" s="74">
        <f t="shared" si="22"/>
        <v>264341.76190634345</v>
      </c>
      <c r="AQ25" s="74">
        <f t="shared" si="22"/>
        <v>264341.76190634345</v>
      </c>
      <c r="AR25" s="74">
        <f t="shared" si="22"/>
        <v>264341.76190634345</v>
      </c>
      <c r="AS25" s="74">
        <f t="shared" si="22"/>
        <v>264341.76190634345</v>
      </c>
      <c r="AT25" s="53">
        <f>SUM(AT14:AT24)</f>
        <v>530761.51461785519</v>
      </c>
      <c r="AU25" s="54">
        <f>SUM(AU14:AU24)</f>
        <v>617694.16012013122</v>
      </c>
      <c r="AV25" s="86">
        <f>SUM(AV14:AV24)</f>
        <v>112382.4435294841</v>
      </c>
      <c r="AW25" s="87">
        <f t="shared" ref="AW25:BO25" si="23">SUM(AV25,AW14:AW24)</f>
        <v>200683.40895084126</v>
      </c>
      <c r="AX25" s="87">
        <f t="shared" si="23"/>
        <v>288371.74518407148</v>
      </c>
      <c r="AY25" s="87">
        <f t="shared" si="23"/>
        <v>375447.45222917473</v>
      </c>
      <c r="AZ25" s="87">
        <f t="shared" si="23"/>
        <v>461910.53008615109</v>
      </c>
      <c r="BA25" s="87">
        <f t="shared" si="23"/>
        <v>480110.42366901488</v>
      </c>
      <c r="BB25" s="87">
        <f t="shared" si="23"/>
        <v>497697.68806375167</v>
      </c>
      <c r="BC25" s="87">
        <f t="shared" si="23"/>
        <v>559578.72327036166</v>
      </c>
      <c r="BD25" s="87">
        <f t="shared" si="23"/>
        <v>576035.91902634455</v>
      </c>
      <c r="BE25" s="87">
        <f t="shared" si="23"/>
        <v>591975.67533170059</v>
      </c>
      <c r="BF25" s="87">
        <f t="shared" si="23"/>
        <v>607397.99218642968</v>
      </c>
      <c r="BG25" s="87">
        <f t="shared" si="23"/>
        <v>622398.05932803184</v>
      </c>
      <c r="BH25" s="87">
        <f t="shared" si="23"/>
        <v>617694.1601201311</v>
      </c>
      <c r="BI25" s="87">
        <f t="shared" si="23"/>
        <v>617694.1601201311</v>
      </c>
      <c r="BJ25" s="87">
        <f t="shared" si="23"/>
        <v>617694.1601201311</v>
      </c>
      <c r="BK25" s="87">
        <f t="shared" si="23"/>
        <v>617694.1601201311</v>
      </c>
      <c r="BL25" s="87">
        <f t="shared" si="23"/>
        <v>617694.1601201311</v>
      </c>
      <c r="BM25" s="87">
        <f t="shared" si="23"/>
        <v>617694.1601201311</v>
      </c>
      <c r="BN25" s="87">
        <f t="shared" si="23"/>
        <v>617694.1601201311</v>
      </c>
      <c r="BO25" s="88">
        <f t="shared" si="23"/>
        <v>617694.1601201311</v>
      </c>
    </row>
    <row r="26" spans="1:91" x14ac:dyDescent="0.25">
      <c r="C26" s="30"/>
    </row>
    <row r="27" spans="1:91" x14ac:dyDescent="0.25">
      <c r="B27" s="65" t="s">
        <v>92</v>
      </c>
      <c r="C27" s="92" t="str">
        <f>VLOOKUP($C$1,VehTab,2,FALSE)</f>
        <v>Class 4-7</v>
      </c>
      <c r="X27" s="65" t="s">
        <v>92</v>
      </c>
      <c r="Y27" s="92" t="str">
        <f>VLOOKUP($C$1,VehTab,2,FALSE)</f>
        <v>Class 4-7</v>
      </c>
      <c r="AT27" s="65" t="s">
        <v>92</v>
      </c>
      <c r="AU27" s="92" t="str">
        <f>VLOOKUP($C$1,VehTab,2,FALSE)</f>
        <v>Class 4-7</v>
      </c>
    </row>
    <row r="28" spans="1:91" x14ac:dyDescent="0.25">
      <c r="B28" s="65" t="s">
        <v>98</v>
      </c>
      <c r="C28" s="93">
        <f>VLOOKUP($C$1 &amp; " - Diesel",EconTab,MATCH($C$2,Input!$A$43:$Q$43),FALSE)*IF(ISNUMBER(SEARCH("Urban",$C$8)),0.7,IF(ISNUMBER(SEARCH("Freeway",$C$8)),1.3,1))</f>
        <v>8.5</v>
      </c>
      <c r="X28" s="65" t="s">
        <v>105</v>
      </c>
      <c r="Y28" s="93">
        <f>VLOOKUP($C$1 &amp; " - Electric",EconTab,MATCH($C$2,Input!$A$43:$Q$43),FALSE)</f>
        <v>1.0416666666666667</v>
      </c>
      <c r="AT28" s="65" t="s">
        <v>104</v>
      </c>
      <c r="AU28" s="95">
        <f>VLOOKUP($C$1 &amp; " - Hydrogen",EconTab,MATCH($C$2,Input!$A$43:$Q$43),FALSE)</f>
        <v>16.149999999999999</v>
      </c>
    </row>
    <row r="29" spans="1:91" x14ac:dyDescent="0.25">
      <c r="B29" s="65" t="s">
        <v>96</v>
      </c>
      <c r="C29" s="94">
        <f>VLOOKUP($C$1,VehTab,4,FALSE)</f>
        <v>0.22</v>
      </c>
      <c r="X29" s="65" t="s">
        <v>96</v>
      </c>
      <c r="Y29" s="94">
        <f>VLOOKUP($C$1,VehTab,4,FALSE)*(1-$Y$7)</f>
        <v>0.16500000000000001</v>
      </c>
      <c r="AT29" s="65" t="s">
        <v>96</v>
      </c>
      <c r="AU29" s="94">
        <f>VLOOKUP($C$1,VehTab,4,FALSE)*(1-$AU$7)</f>
        <v>0.22</v>
      </c>
    </row>
    <row r="30" spans="1:91" x14ac:dyDescent="0.25">
      <c r="B30" s="65" t="s">
        <v>97</v>
      </c>
      <c r="C30" s="94">
        <f ca="1">AVERAGE(OFFSET(Input!$A$79,MATCH("Diesel",Input!$A$80:$A$84),MATCH(Main!$C$2,Input!$A$79:$AK$79)):OFFSET(Input!$A$79,MATCH("Diesel",Input!$A$80:$A$84),MATCH(Main!$C$2+$C$5,Input!$A$79:$AK$79)))</f>
        <v>3.6631084541153851</v>
      </c>
      <c r="X30" s="65" t="s">
        <v>117</v>
      </c>
      <c r="Y30" s="94">
        <f ca="1">AVERAGE(OFFSET(Input!$A$79,MATCH("Electricity",Input!$A$80:$A$84),MATCH(Main!$C$2,Input!$A$79:$AK$79)):OFFSET(Input!$A$79,MATCH("Electricity",Input!$A$80:$A$84),MATCH(Main!$C$2+$C$5,Input!$A$79:$AK$79)))</f>
        <v>0.16516667575033483</v>
      </c>
      <c r="AT30" s="65" t="s">
        <v>103</v>
      </c>
      <c r="AU30" s="94">
        <f ca="1">AVERAGE(OFFSET(Input!$A$79,MATCH("Hydrogen",Input!$A$80:$A$84),MATCH(Main!$C$2,Input!$A$79:$AK$79)):OFFSET(Input!$A$79,MATCH("Hydrogen",Input!$A$80:$A$84),MATCH(Main!$C$2+$C$5,Input!$A$79:$AK$79)))</f>
        <v>7.9986153846153849</v>
      </c>
    </row>
    <row r="31" spans="1:91" x14ac:dyDescent="0.25">
      <c r="B31" s="65" t="s">
        <v>51</v>
      </c>
      <c r="C31" s="96">
        <v>0</v>
      </c>
      <c r="X31" s="65" t="s">
        <v>151</v>
      </c>
      <c r="Y31" s="94">
        <f ca="1">AVERAGE(OFFSET(Input!$A$100,MATCH(IF($Y$27="Class 2B-3","Electricity - Class 2B-3","Electricity - Class 4-8"),Input!$A$101:$A$106,0),MATCH(Main!$C$2,Input!$A$100:$AK$100)):OFFSET(Input!$A$100,MATCH(IF($Y$27="Class 2B-3","Electricity - Class 2B-3","Electricity - Class 4-8"),Input!$A$101:$A$106,0),MATCH($C$2+$C$5,Input!$A$100:$AK$100)))</f>
        <v>0.12237369230769232</v>
      </c>
      <c r="AT31" s="65" t="s">
        <v>152</v>
      </c>
      <c r="AU31" s="94">
        <f ca="1">AVERAGE(OFFSET(Input!$A$100,MATCH(IF($Y$27="Class 2B-3","Hydrogen - Class 2B-3","Hydrogen - Class 4-8"),Input!$A$101:$A$106,0),MATCH(Main!$C$2,Input!$A$100:$AK$100)):OFFSET(Input!$A$100,MATCH(IF($Y$27="Class 2B-3","Hydrogen - Class 2B-3","Hydrogen - Class 4-8"),Input!$A$101:$A$106,0),MATCH($C$2+$C$5,Input!$A$100:$AK$100)))</f>
        <v>0.73736184059999965</v>
      </c>
    </row>
    <row r="33" spans="2:47" x14ac:dyDescent="0.25">
      <c r="B33" t="s">
        <v>84</v>
      </c>
      <c r="C33" s="5" t="s">
        <v>176</v>
      </c>
      <c r="X33" t="s">
        <v>58</v>
      </c>
      <c r="Y33" s="9">
        <f>$C$3*(1+VLOOKUP("Spare Battery Capacity",FixedTab,2,FALSE))/VLOOKUP($C$1 &amp;" - Electric",EconTab,MATCH(2018,Input!$A$43:$Q$43),FALSE)</f>
        <v>103.67999999999999</v>
      </c>
      <c r="AT33" t="s">
        <v>58</v>
      </c>
      <c r="AU33" s="9">
        <f>IF($AU$27="Class 4-7",50,10)</f>
        <v>50</v>
      </c>
    </row>
    <row r="34" spans="2:47" x14ac:dyDescent="0.25">
      <c r="B34" t="s">
        <v>80</v>
      </c>
      <c r="C34" s="8">
        <v>0.05</v>
      </c>
      <c r="X34" t="s">
        <v>55</v>
      </c>
      <c r="Y34" s="5"/>
      <c r="AT34" t="s">
        <v>57</v>
      </c>
      <c r="AU34" s="5"/>
    </row>
    <row r="35" spans="2:47" x14ac:dyDescent="0.25">
      <c r="B35" t="s">
        <v>81</v>
      </c>
      <c r="C35" s="11">
        <v>5</v>
      </c>
      <c r="X35" t="s">
        <v>85</v>
      </c>
      <c r="Y35">
        <f>VLOOKUP($C$1,VehTab,3,FALSE)</f>
        <v>240</v>
      </c>
      <c r="AT35" t="s">
        <v>85</v>
      </c>
      <c r="AU35">
        <f>VLOOKUP($C$1,VehTab,3,FALSE)</f>
        <v>240</v>
      </c>
    </row>
    <row r="36" spans="2:47" x14ac:dyDescent="0.25">
      <c r="X36" t="s">
        <v>55</v>
      </c>
      <c r="Y36" s="5"/>
      <c r="AT36" t="s">
        <v>55</v>
      </c>
      <c r="AU36" s="6"/>
    </row>
    <row r="37" spans="2:47" x14ac:dyDescent="0.25">
      <c r="B37" t="s">
        <v>106</v>
      </c>
      <c r="C37" s="10" t="s">
        <v>60</v>
      </c>
      <c r="AT37" t="s">
        <v>147</v>
      </c>
      <c r="AU37">
        <f>VLOOKUP($C$1,VehTab,3,FALSE)*VLOOKUP(AU27&amp;" FC Power Ratio", FixedTab, 2,FALSE)</f>
        <v>60</v>
      </c>
    </row>
    <row r="38" spans="2:47" x14ac:dyDescent="0.25">
      <c r="B38" t="s">
        <v>107</v>
      </c>
      <c r="C38" s="29">
        <f>IF(C27="Class 8", 0.12,0)</f>
        <v>0</v>
      </c>
      <c r="AT38" t="s">
        <v>55</v>
      </c>
      <c r="AU38" s="6"/>
    </row>
    <row r="39" spans="2:47" x14ac:dyDescent="0.25">
      <c r="B39" t="s">
        <v>108</v>
      </c>
      <c r="C39" s="8">
        <v>0.08</v>
      </c>
      <c r="AT39" t="s">
        <v>76</v>
      </c>
      <c r="AU39" s="9">
        <f>VLOOKUP($C$1,VehTab,8,FALSE)</f>
        <v>20</v>
      </c>
    </row>
    <row r="40" spans="2:47" x14ac:dyDescent="0.25">
      <c r="AT40" t="s">
        <v>77</v>
      </c>
      <c r="AU40" s="5"/>
    </row>
    <row r="41" spans="2:47" x14ac:dyDescent="0.25">
      <c r="B41" s="27" t="s">
        <v>150</v>
      </c>
      <c r="C41" s="28">
        <f>IF($B$12="Diesel",VLOOKUP($C$1,VehTab,9,FALSE),VLOOKUP($C$1,VehTab,10,FALSE))+VLOOKUP(VLOOKUP($C$1,VehTab,11,FALSE),Phase2Tab,MATCH($C$2,Input!$A$16:$Q$16),FALSE)</f>
        <v>78500</v>
      </c>
      <c r="X41" s="27" t="s">
        <v>150</v>
      </c>
      <c r="Y41" s="28">
        <f>($Y$42+$Y$43+IF($Y$36="",$Y$35,$Y$36)*$Y$45+IF($Y$34="",$Y$33,$Y$34)*$Y$44)*(1+VLOOKUP("ZEV Indirect Cost",FixedTab,2,FALSE))</f>
        <v>152411.29199999999</v>
      </c>
      <c r="AT41" s="27" t="s">
        <v>150</v>
      </c>
      <c r="AU41" s="28">
        <f>($AU$42+$AU$43+IF($AU$34="",$AU$33,$AU$34)*$AU$44+IF($AU$36="",$AU$35,$AU$36)*$AU$45+IF($AU$38="",$AU$37,$AU$38)*$AU$46+IF($AU$40="",$AU$39,$AU$40)*$AU$47)*(1+VLOOKUP("ZEV Indirect Cost",FixedTab,2,FALSE))</f>
        <v>292891.5</v>
      </c>
    </row>
    <row r="42" spans="2:47" x14ac:dyDescent="0.25">
      <c r="B42" s="76" t="s">
        <v>197</v>
      </c>
      <c r="C42" s="82">
        <f>IF($B$12="Diesel",VLOOKUP($C$1,VehTab,9,FALSE),VLOOKUP($C$1,VehTab,10,FALSE))</f>
        <v>78500</v>
      </c>
      <c r="X42" t="s">
        <v>91</v>
      </c>
      <c r="Y42" s="4">
        <f>VLOOKUP($C$1,VehTab,9,FALSE)*VLOOKUP($C$1,VehTab,5,FALSE)</f>
        <v>58875</v>
      </c>
      <c r="AT42" t="s">
        <v>91</v>
      </c>
      <c r="AU42" s="4">
        <f>VLOOKUP($C$1,VehTab,9,FALSE)*VLOOKUP($C$1,VehTab,5,FALSE)</f>
        <v>58875</v>
      </c>
    </row>
    <row r="43" spans="2:47" x14ac:dyDescent="0.25">
      <c r="B43" s="76" t="s">
        <v>198</v>
      </c>
      <c r="C43" s="4">
        <f>VLOOKUP(VLOOKUP($C$1,VehTab,11,FALSE),Phase2Tab,MATCH($C$2,Input!$A$16:$Q$16),FALSE)</f>
        <v>0</v>
      </c>
      <c r="X43" t="s">
        <v>95</v>
      </c>
      <c r="Y43" s="4">
        <f>VLOOKUP($Y$4&amp;" - $", ComponentTab,MATCH($C$2,Input!$A$21:$Q$21),FALSE)</f>
        <v>104.39999999999999</v>
      </c>
      <c r="AT43" t="s">
        <v>95</v>
      </c>
      <c r="AU43" s="4">
        <f>VLOOKUP($AU$4&amp;" - $", ComponentTab,MATCH($C$2,Input!$A$21:$Q$21),FALSE)</f>
        <v>2650</v>
      </c>
    </row>
    <row r="44" spans="2:47" x14ac:dyDescent="0.25">
      <c r="X44" t="s">
        <v>90</v>
      </c>
      <c r="Y44" s="4">
        <f>VLOOKUP($Y$5,kWhTab,MATCH($C$2,Input!$A$35:$AK$35),FALSE)</f>
        <v>599</v>
      </c>
      <c r="AT44" t="s">
        <v>90</v>
      </c>
      <c r="AU44" s="4">
        <f>VLOOKUP(AU5,kWhTab,MATCH($C$2,Input!$A$35:$AK$35),FALSE)</f>
        <v>634</v>
      </c>
    </row>
    <row r="45" spans="2:47" x14ac:dyDescent="0.25">
      <c r="X45" t="s">
        <v>89</v>
      </c>
      <c r="Y45" s="4">
        <f>VLOOKUP($Y$4&amp;" - kWEV", ComponentTab,MATCH($C$2,Input!$A$21:$Q$21),FALSE)</f>
        <v>72.799999999999983</v>
      </c>
      <c r="AT45" t="s">
        <v>89</v>
      </c>
      <c r="AU45" s="4">
        <f>VLOOKUP($AU$4&amp;" - kWEV", ComponentTab,MATCH($C$2,Input!$A$21:$Q$21),FALSE)</f>
        <v>64</v>
      </c>
    </row>
    <row r="46" spans="2:47" x14ac:dyDescent="0.25">
      <c r="AT46" t="s">
        <v>86</v>
      </c>
      <c r="AU46" s="4">
        <f>VLOOKUP($AU$4&amp;" - kWFC", ComponentTab,MATCH($C$2,Input!$A$21:$Q$21),FALSE)</f>
        <v>2268</v>
      </c>
    </row>
    <row r="47" spans="2:47" x14ac:dyDescent="0.25">
      <c r="AT47" t="s">
        <v>87</v>
      </c>
      <c r="AU47" s="4">
        <f>VLOOKUP($AU$4&amp;" - kg", ComponentTab,MATCH($C$2,Input!$A$21:$Q$21),FALSE)</f>
        <v>1080</v>
      </c>
    </row>
  </sheetData>
  <mergeCells count="3">
    <mergeCell ref="B12:C12"/>
    <mergeCell ref="X12:Y12"/>
    <mergeCell ref="AT12:AU12"/>
  </mergeCells>
  <dataValidations count="10">
    <dataValidation type="whole" allowBlank="1" showInputMessage="1" showErrorMessage="1" sqref="C5 Y10 AU10">
      <formula1>0</formula1>
      <formula2>20</formula2>
    </dataValidation>
    <dataValidation type="whole" operator="greaterThanOrEqual" allowBlank="1" showInputMessage="1" showErrorMessage="1" sqref="C2">
      <formula1>2018</formula1>
    </dataValidation>
    <dataValidation type="decimal" allowBlank="1" showInputMessage="1" showErrorMessage="1" sqref="Y6 AU6">
      <formula1>0</formula1>
      <formula2>200</formula2>
    </dataValidation>
    <dataValidation type="list" allowBlank="1" showInputMessage="1" showErrorMessage="1" sqref="C37">
      <formula1>$D$96:$D$97</formula1>
    </dataValidation>
    <dataValidation type="list" allowBlank="1" showInputMessage="1" showErrorMessage="1" sqref="AU9 C9 Y9">
      <formula1>"Yes,No"</formula1>
    </dataValidation>
    <dataValidation type="list" allowBlank="1" showInputMessage="1" showErrorMessage="1" sqref="C33">
      <formula1>"Purchase, Finance"</formula1>
    </dataValidation>
    <dataValidation type="list" allowBlank="1" showInputMessage="1" showErrorMessage="1" sqref="C8">
      <formula1>"Urban (-30%), Mixed (+0%), Freeway (+30%)"</formula1>
    </dataValidation>
    <dataValidation type="list" allowBlank="1" showInputMessage="1" showErrorMessage="1" sqref="AU2">
      <formula1>"Compressed from fossil NG SMR,Liquid from fossil NG SMR,Compressed from landfill NG SMR, Liquid from landfill NG SMR, Compressed from grid electrolysis, Compressed from zero-CI electrolysis"</formula1>
    </dataValidation>
    <dataValidation type="list" allowBlank="1" showInputMessage="1" showErrorMessage="1" sqref="B12:C12">
      <formula1>"Diesel,Gasoline"</formula1>
    </dataValidation>
    <dataValidation type="list" allowBlank="1" showInputMessage="1" showErrorMessage="1" sqref="Y4 AU4">
      <formula1>"ICCT, Ricardo, User Input"</formula1>
    </dataValidation>
  </dataValidations>
  <pageMargins left="0.7" right="0.7" top="0.75" bottom="0.75" header="0.3" footer="0.3"/>
  <pageSetup scale="47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Input!$A$36:$A$41</xm:f>
          </x14:formula1>
          <xm:sqref>AU5</xm:sqref>
        </x14:dataValidation>
        <x14:dataValidation type="list" allowBlank="1" showInputMessage="1" showErrorMessage="1">
          <x14:formula1>
            <xm:f>Input!$A$93:$A$98</xm:f>
          </x14:formula1>
          <xm:sqref>Y1</xm:sqref>
        </x14:dataValidation>
        <x14:dataValidation type="list" allowBlank="1" showInputMessage="1" showErrorMessage="1">
          <x14:formula1>
            <xm:f>Input!$A$87:$A$90</xm:f>
          </x14:formula1>
          <xm:sqref>AU1</xm:sqref>
        </x14:dataValidation>
        <x14:dataValidation type="list" allowBlank="1" showInputMessage="1" showErrorMessage="1">
          <x14:formula1>
            <xm:f>Input!$A$36:$A$41</xm:f>
          </x14:formula1>
          <xm:sqref>Y5</xm:sqref>
        </x14:dataValidation>
        <x14:dataValidation type="list" allowBlank="1" showInputMessage="1" showErrorMessage="1">
          <x14:formula1>
            <xm:f>Input!$A$2:$A$11</xm:f>
          </x14:formula1>
          <xm:sqref>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9"/>
  <sheetViews>
    <sheetView zoomScaleNormal="100" workbookViewId="0">
      <selection activeCell="A114" sqref="A114"/>
    </sheetView>
  </sheetViews>
  <sheetFormatPr defaultRowHeight="15" x14ac:dyDescent="0.25"/>
  <cols>
    <col min="1" max="1" width="77" bestFit="1" customWidth="1"/>
    <col min="2" max="2" width="12.42578125" bestFit="1" customWidth="1"/>
    <col min="3" max="3" width="25" bestFit="1" customWidth="1"/>
    <col min="4" max="4" width="24" bestFit="1" customWidth="1"/>
    <col min="5" max="5" width="10.85546875" bestFit="1" customWidth="1"/>
    <col min="6" max="6" width="17.5703125" bestFit="1" customWidth="1"/>
    <col min="7" max="7" width="14.140625" bestFit="1" customWidth="1"/>
    <col min="8" max="8" width="20.85546875" bestFit="1" customWidth="1"/>
    <col min="9" max="9" width="11.42578125" bestFit="1" customWidth="1"/>
    <col min="10" max="10" width="13.85546875" bestFit="1" customWidth="1"/>
    <col min="11" max="11" width="16.140625" bestFit="1" customWidth="1"/>
    <col min="12" max="37" width="10.5703125" bestFit="1" customWidth="1"/>
  </cols>
  <sheetData>
    <row r="1" spans="1:21" ht="15.75" thickBot="1" x14ac:dyDescent="0.3">
      <c r="A1" s="21" t="s">
        <v>132</v>
      </c>
      <c r="B1" s="21" t="s">
        <v>2</v>
      </c>
      <c r="C1" s="21" t="s">
        <v>134</v>
      </c>
      <c r="D1" s="21" t="s">
        <v>4</v>
      </c>
      <c r="E1" s="21" t="s">
        <v>126</v>
      </c>
      <c r="F1" s="21" t="s">
        <v>119</v>
      </c>
      <c r="G1" s="21" t="s">
        <v>118</v>
      </c>
      <c r="H1" s="21" t="s">
        <v>76</v>
      </c>
      <c r="I1" s="21" t="s">
        <v>137</v>
      </c>
      <c r="J1" s="77" t="s">
        <v>196</v>
      </c>
      <c r="K1" s="77" t="s">
        <v>138</v>
      </c>
    </row>
    <row r="2" spans="1:21" x14ac:dyDescent="0.25">
      <c r="A2" s="7" t="s">
        <v>75</v>
      </c>
      <c r="B2" s="7" t="s">
        <v>6</v>
      </c>
      <c r="C2" s="7">
        <v>350</v>
      </c>
      <c r="D2" s="19">
        <v>0.19</v>
      </c>
      <c r="E2" s="25">
        <v>0.75</v>
      </c>
      <c r="F2" s="18">
        <v>2064</v>
      </c>
      <c r="G2" s="18">
        <v>358</v>
      </c>
      <c r="H2" s="71">
        <v>40</v>
      </c>
      <c r="I2" s="18">
        <v>134000</v>
      </c>
      <c r="J2" s="18" t="s">
        <v>199</v>
      </c>
      <c r="K2" s="18" t="s">
        <v>141</v>
      </c>
    </row>
    <row r="3" spans="1:21" x14ac:dyDescent="0.25">
      <c r="A3" s="7" t="s">
        <v>177</v>
      </c>
      <c r="B3" s="7" t="s">
        <v>7</v>
      </c>
      <c r="C3" s="7">
        <v>160</v>
      </c>
      <c r="D3" s="19">
        <v>0.22</v>
      </c>
      <c r="E3" s="25">
        <v>0.75</v>
      </c>
      <c r="F3" s="18">
        <v>332</v>
      </c>
      <c r="G3" s="18">
        <v>266</v>
      </c>
      <c r="H3" s="71">
        <v>20</v>
      </c>
      <c r="I3" s="18">
        <v>52500</v>
      </c>
      <c r="J3" s="18" t="s">
        <v>199</v>
      </c>
      <c r="K3" s="18" t="s">
        <v>140</v>
      </c>
    </row>
    <row r="4" spans="1:21" x14ac:dyDescent="0.25">
      <c r="A4" s="7" t="s">
        <v>181</v>
      </c>
      <c r="B4" s="7" t="s">
        <v>7</v>
      </c>
      <c r="C4" s="7">
        <v>160</v>
      </c>
      <c r="D4" s="19">
        <v>0.31</v>
      </c>
      <c r="E4" s="25">
        <v>0.75</v>
      </c>
      <c r="F4" s="18">
        <v>546</v>
      </c>
      <c r="G4" s="18">
        <v>358</v>
      </c>
      <c r="H4" s="71">
        <v>20</v>
      </c>
      <c r="I4" s="18">
        <v>87000</v>
      </c>
      <c r="J4" s="18" t="s">
        <v>199</v>
      </c>
      <c r="K4" s="18" t="s">
        <v>140</v>
      </c>
    </row>
    <row r="5" spans="1:21" x14ac:dyDescent="0.25">
      <c r="A5" s="7" t="s">
        <v>185</v>
      </c>
      <c r="B5" s="7" t="s">
        <v>6</v>
      </c>
      <c r="C5" s="7">
        <v>210</v>
      </c>
      <c r="D5" s="19">
        <v>0.31</v>
      </c>
      <c r="E5" s="25">
        <v>0.75</v>
      </c>
      <c r="F5" s="18">
        <v>1270</v>
      </c>
      <c r="G5" s="18">
        <v>358</v>
      </c>
      <c r="H5" s="71">
        <v>40</v>
      </c>
      <c r="I5" s="18">
        <v>120000</v>
      </c>
      <c r="J5" s="18" t="s">
        <v>199</v>
      </c>
      <c r="K5" s="18" t="s">
        <v>140</v>
      </c>
    </row>
    <row r="6" spans="1:21" x14ac:dyDescent="0.25">
      <c r="A6" s="7" t="s">
        <v>8</v>
      </c>
      <c r="B6" s="7" t="s">
        <v>7</v>
      </c>
      <c r="C6" s="7">
        <v>240</v>
      </c>
      <c r="D6" s="19">
        <v>0.22</v>
      </c>
      <c r="E6" s="25">
        <v>0.75</v>
      </c>
      <c r="F6" s="18">
        <v>447</v>
      </c>
      <c r="G6" s="18">
        <v>358</v>
      </c>
      <c r="H6" s="71">
        <v>20</v>
      </c>
      <c r="I6" s="18">
        <v>78500</v>
      </c>
      <c r="J6" s="18">
        <v>55000</v>
      </c>
      <c r="K6" s="18" t="s">
        <v>140</v>
      </c>
    </row>
    <row r="7" spans="1:21" x14ac:dyDescent="0.25">
      <c r="A7" s="7" t="s">
        <v>109</v>
      </c>
      <c r="B7" s="7" t="s">
        <v>5</v>
      </c>
      <c r="C7" s="7">
        <v>160</v>
      </c>
      <c r="D7" s="19">
        <v>0.17</v>
      </c>
      <c r="E7" s="25">
        <v>0.75</v>
      </c>
      <c r="F7" s="18">
        <v>332</v>
      </c>
      <c r="G7" s="18">
        <v>266</v>
      </c>
      <c r="H7" s="71">
        <v>10</v>
      </c>
      <c r="I7" s="18">
        <v>48000</v>
      </c>
      <c r="J7" s="18">
        <v>44000</v>
      </c>
      <c r="K7" s="18" t="s">
        <v>139</v>
      </c>
    </row>
    <row r="8" spans="1:21" x14ac:dyDescent="0.25">
      <c r="A8" s="7" t="s">
        <v>191</v>
      </c>
      <c r="B8" s="7" t="s">
        <v>5</v>
      </c>
      <c r="C8" s="7">
        <v>340</v>
      </c>
      <c r="D8" s="19">
        <v>0.17</v>
      </c>
      <c r="E8" s="25">
        <v>0.75</v>
      </c>
      <c r="F8" s="18">
        <v>0</v>
      </c>
      <c r="G8" s="18">
        <v>266</v>
      </c>
      <c r="H8" s="71">
        <v>10</v>
      </c>
      <c r="I8" s="18">
        <v>47000</v>
      </c>
      <c r="J8" s="18">
        <v>38000</v>
      </c>
      <c r="K8" s="18" t="s">
        <v>139</v>
      </c>
    </row>
    <row r="9" spans="1:21" x14ac:dyDescent="0.25">
      <c r="A9" s="7" t="s">
        <v>9</v>
      </c>
      <c r="B9" s="7" t="s">
        <v>6</v>
      </c>
      <c r="C9" s="7">
        <v>325</v>
      </c>
      <c r="D9" s="19">
        <v>0.8</v>
      </c>
      <c r="E9" s="25">
        <v>0.85</v>
      </c>
      <c r="F9" s="18">
        <v>1270</v>
      </c>
      <c r="G9" s="18">
        <v>358</v>
      </c>
      <c r="H9" s="71">
        <v>40</v>
      </c>
      <c r="I9" s="18">
        <v>190000</v>
      </c>
      <c r="J9" s="18" t="s">
        <v>199</v>
      </c>
      <c r="K9" s="18" t="s">
        <v>140</v>
      </c>
    </row>
    <row r="10" spans="1:21" x14ac:dyDescent="0.25">
      <c r="A10" s="7" t="s">
        <v>153</v>
      </c>
      <c r="B10" s="7" t="s">
        <v>7</v>
      </c>
      <c r="C10" s="7">
        <v>200</v>
      </c>
      <c r="D10" s="19">
        <v>0.26</v>
      </c>
      <c r="E10" s="25">
        <v>0.75</v>
      </c>
      <c r="F10" s="18">
        <v>0</v>
      </c>
      <c r="G10" s="18">
        <v>0</v>
      </c>
      <c r="H10" s="71">
        <v>20</v>
      </c>
      <c r="I10" s="18">
        <v>110000</v>
      </c>
      <c r="J10" s="18" t="s">
        <v>199</v>
      </c>
      <c r="K10" s="18" t="s">
        <v>140</v>
      </c>
    </row>
    <row r="11" spans="1:21" x14ac:dyDescent="0.25">
      <c r="A11" s="7" t="s">
        <v>219</v>
      </c>
      <c r="B11" s="7" t="s">
        <v>7</v>
      </c>
      <c r="C11" s="7">
        <v>100</v>
      </c>
      <c r="D11" s="19">
        <v>0.1</v>
      </c>
      <c r="E11" s="25">
        <v>0.75</v>
      </c>
      <c r="F11" s="18">
        <v>332</v>
      </c>
      <c r="G11" s="18">
        <v>266</v>
      </c>
      <c r="H11" s="71">
        <v>20</v>
      </c>
      <c r="I11" s="18">
        <v>100000</v>
      </c>
      <c r="J11" s="18">
        <v>100000</v>
      </c>
      <c r="K11" s="18" t="s">
        <v>140</v>
      </c>
    </row>
    <row r="13" spans="1:21" ht="15.75" thickBot="1" x14ac:dyDescent="0.3">
      <c r="A13" s="21" t="s">
        <v>195</v>
      </c>
      <c r="B13" s="21" t="s">
        <v>23</v>
      </c>
      <c r="C13" s="21" t="s">
        <v>24</v>
      </c>
      <c r="D13" s="21" t="s">
        <v>25</v>
      </c>
      <c r="E13" s="21" t="s">
        <v>26</v>
      </c>
      <c r="F13" s="21" t="s">
        <v>27</v>
      </c>
      <c r="G13" s="21" t="s">
        <v>28</v>
      </c>
      <c r="H13" s="21" t="s">
        <v>29</v>
      </c>
      <c r="I13" s="21" t="s">
        <v>30</v>
      </c>
      <c r="J13" s="21" t="s">
        <v>31</v>
      </c>
      <c r="K13" s="21" t="s">
        <v>32</v>
      </c>
      <c r="L13" s="21" t="s">
        <v>33</v>
      </c>
      <c r="M13" s="21" t="s">
        <v>34</v>
      </c>
      <c r="N13" s="21" t="s">
        <v>35</v>
      </c>
      <c r="O13" s="21" t="s">
        <v>36</v>
      </c>
      <c r="P13" s="21" t="s">
        <v>37</v>
      </c>
      <c r="Q13" s="21" t="s">
        <v>38</v>
      </c>
      <c r="R13" s="21" t="s">
        <v>39</v>
      </c>
      <c r="S13" s="21" t="s">
        <v>40</v>
      </c>
      <c r="T13" s="21" t="s">
        <v>41</v>
      </c>
      <c r="U13" s="21" t="s">
        <v>42</v>
      </c>
    </row>
    <row r="14" spans="1:21" x14ac:dyDescent="0.25">
      <c r="A14" s="7" t="s">
        <v>204</v>
      </c>
      <c r="B14" s="81">
        <f>Main!$C$3*Main!$C$4</f>
        <v>24000</v>
      </c>
      <c r="C14" s="81">
        <f>B14</f>
        <v>24000</v>
      </c>
      <c r="D14" s="81">
        <f t="shared" ref="D14:U14" si="0">C14</f>
        <v>24000</v>
      </c>
      <c r="E14" s="81">
        <f t="shared" si="0"/>
        <v>24000</v>
      </c>
      <c r="F14" s="81">
        <f t="shared" si="0"/>
        <v>24000</v>
      </c>
      <c r="G14" s="81">
        <f t="shared" si="0"/>
        <v>24000</v>
      </c>
      <c r="H14" s="81">
        <f t="shared" si="0"/>
        <v>24000</v>
      </c>
      <c r="I14" s="81">
        <f t="shared" si="0"/>
        <v>24000</v>
      </c>
      <c r="J14" s="81">
        <f t="shared" si="0"/>
        <v>24000</v>
      </c>
      <c r="K14" s="81">
        <f t="shared" si="0"/>
        <v>24000</v>
      </c>
      <c r="L14" s="81">
        <f t="shared" si="0"/>
        <v>24000</v>
      </c>
      <c r="M14" s="81">
        <f t="shared" si="0"/>
        <v>24000</v>
      </c>
      <c r="N14" s="81">
        <f t="shared" si="0"/>
        <v>24000</v>
      </c>
      <c r="O14" s="81">
        <f t="shared" si="0"/>
        <v>24000</v>
      </c>
      <c r="P14" s="81">
        <f t="shared" si="0"/>
        <v>24000</v>
      </c>
      <c r="Q14" s="81">
        <f t="shared" si="0"/>
        <v>24000</v>
      </c>
      <c r="R14" s="81">
        <f t="shared" si="0"/>
        <v>24000</v>
      </c>
      <c r="S14" s="81">
        <f t="shared" si="0"/>
        <v>24000</v>
      </c>
      <c r="T14" s="81">
        <f t="shared" si="0"/>
        <v>24000</v>
      </c>
      <c r="U14" s="81">
        <f t="shared" si="0"/>
        <v>24000</v>
      </c>
    </row>
    <row r="16" spans="1:21" ht="15.75" thickBot="1" x14ac:dyDescent="0.3">
      <c r="A16" s="21" t="s">
        <v>202</v>
      </c>
      <c r="B16" s="21">
        <v>2015</v>
      </c>
      <c r="C16" s="21">
        <v>2016</v>
      </c>
      <c r="D16" s="21">
        <v>2017</v>
      </c>
      <c r="E16" s="21">
        <v>2018</v>
      </c>
      <c r="F16" s="21">
        <v>2019</v>
      </c>
      <c r="G16" s="21">
        <v>2020</v>
      </c>
      <c r="H16" s="21">
        <v>2021</v>
      </c>
      <c r="I16" s="21">
        <v>2022</v>
      </c>
      <c r="J16" s="21">
        <v>2023</v>
      </c>
      <c r="K16" s="21">
        <v>2024</v>
      </c>
      <c r="L16" s="21">
        <v>2025</v>
      </c>
      <c r="M16" s="21">
        <v>2026</v>
      </c>
      <c r="N16" s="21">
        <v>2027</v>
      </c>
      <c r="O16" s="21">
        <v>2028</v>
      </c>
      <c r="P16" s="21">
        <v>2029</v>
      </c>
      <c r="Q16" s="21">
        <v>2030</v>
      </c>
    </row>
    <row r="17" spans="1:17" x14ac:dyDescent="0.25">
      <c r="A17" s="7" t="s">
        <v>139</v>
      </c>
      <c r="B17" s="18">
        <f t="shared" ref="B17:D19" si="1">$E17</f>
        <v>0</v>
      </c>
      <c r="C17" s="18">
        <v>0</v>
      </c>
      <c r="D17" s="18">
        <f>$E17</f>
        <v>0</v>
      </c>
      <c r="E17" s="18">
        <v>0</v>
      </c>
      <c r="F17" s="18">
        <f t="shared" ref="F17:G19" si="2">$E17</f>
        <v>0</v>
      </c>
      <c r="G17" s="18">
        <f t="shared" si="2"/>
        <v>0</v>
      </c>
      <c r="H17" s="18">
        <f>$E17+524</f>
        <v>524</v>
      </c>
      <c r="I17" s="18">
        <f>$E17+524</f>
        <v>524</v>
      </c>
      <c r="J17" s="18">
        <f>$E17+524</f>
        <v>524</v>
      </c>
      <c r="K17" s="18">
        <f>$E17+963</f>
        <v>963</v>
      </c>
      <c r="L17" s="18">
        <f>$E17+963</f>
        <v>963</v>
      </c>
      <c r="M17" s="18">
        <f>$E17+963</f>
        <v>963</v>
      </c>
      <c r="N17" s="18">
        <f>$E17+1364</f>
        <v>1364</v>
      </c>
      <c r="O17" s="18">
        <f>$E17+1364</f>
        <v>1364</v>
      </c>
      <c r="P17" s="18">
        <f>$E17+1364</f>
        <v>1364</v>
      </c>
      <c r="Q17" s="18">
        <f>$E17+1364</f>
        <v>1364</v>
      </c>
    </row>
    <row r="18" spans="1:17" x14ac:dyDescent="0.25">
      <c r="A18" s="7" t="s">
        <v>140</v>
      </c>
      <c r="B18" s="18">
        <f t="shared" si="1"/>
        <v>0</v>
      </c>
      <c r="C18" s="18">
        <v>0</v>
      </c>
      <c r="D18" s="18">
        <f t="shared" si="1"/>
        <v>0</v>
      </c>
      <c r="E18" s="18">
        <v>0</v>
      </c>
      <c r="F18" s="18">
        <f t="shared" si="2"/>
        <v>0</v>
      </c>
      <c r="G18" s="18">
        <f t="shared" si="2"/>
        <v>0</v>
      </c>
      <c r="H18" s="18">
        <f>$E18+1110</f>
        <v>1110</v>
      </c>
      <c r="I18" s="18">
        <f>$E18+1110</f>
        <v>1110</v>
      </c>
      <c r="J18" s="18">
        <f>$E18+1110</f>
        <v>1110</v>
      </c>
      <c r="K18" s="18">
        <f>$E18+2022</f>
        <v>2022</v>
      </c>
      <c r="L18" s="18">
        <f>$E18+2022</f>
        <v>2022</v>
      </c>
      <c r="M18" s="18">
        <f>$E18+2022</f>
        <v>2022</v>
      </c>
      <c r="N18" s="18">
        <f>$E18+2662</f>
        <v>2662</v>
      </c>
      <c r="O18" s="18">
        <f>$E18+2662</f>
        <v>2662</v>
      </c>
      <c r="P18" s="18">
        <f>$E18+2662</f>
        <v>2662</v>
      </c>
      <c r="Q18" s="18">
        <f>$E18+2662</f>
        <v>2662</v>
      </c>
    </row>
    <row r="19" spans="1:17" x14ac:dyDescent="0.25">
      <c r="A19" s="7" t="s">
        <v>141</v>
      </c>
      <c r="B19" s="18">
        <f t="shared" si="1"/>
        <v>0</v>
      </c>
      <c r="C19" s="18">
        <v>0</v>
      </c>
      <c r="D19" s="18">
        <f t="shared" si="1"/>
        <v>0</v>
      </c>
      <c r="E19" s="18">
        <v>0</v>
      </c>
      <c r="F19" s="18">
        <f t="shared" si="2"/>
        <v>0</v>
      </c>
      <c r="G19" s="18">
        <f t="shared" si="2"/>
        <v>0</v>
      </c>
      <c r="H19" s="18">
        <f>$E19+6484</f>
        <v>6484</v>
      </c>
      <c r="I19" s="18">
        <f>$E19+6484</f>
        <v>6484</v>
      </c>
      <c r="J19" s="18">
        <f>$E19+6484</f>
        <v>6484</v>
      </c>
      <c r="K19" s="18">
        <f>$E19+10101</f>
        <v>10101</v>
      </c>
      <c r="L19" s="18">
        <f>$E19+10101</f>
        <v>10101</v>
      </c>
      <c r="M19" s="18">
        <f>$E19+10101</f>
        <v>10101</v>
      </c>
      <c r="N19" s="18">
        <f>$E19+12442</f>
        <v>12442</v>
      </c>
      <c r="O19" s="18">
        <f>$E19+12442</f>
        <v>12442</v>
      </c>
      <c r="P19" s="18">
        <f>$E19+12442</f>
        <v>12442</v>
      </c>
      <c r="Q19" s="18">
        <f>$E19+12442</f>
        <v>12442</v>
      </c>
    </row>
    <row r="21" spans="1:17" ht="15.75" thickBot="1" x14ac:dyDescent="0.3">
      <c r="A21" s="21" t="s">
        <v>220</v>
      </c>
      <c r="B21" s="21">
        <v>2015</v>
      </c>
      <c r="C21" s="21">
        <v>2016</v>
      </c>
      <c r="D21" s="21">
        <v>2017</v>
      </c>
      <c r="E21" s="21">
        <v>2018</v>
      </c>
      <c r="F21" s="21">
        <v>2019</v>
      </c>
      <c r="G21" s="21">
        <v>2020</v>
      </c>
      <c r="H21" s="21">
        <v>2021</v>
      </c>
      <c r="I21" s="21">
        <v>2022</v>
      </c>
      <c r="J21" s="21">
        <v>2023</v>
      </c>
      <c r="K21" s="21">
        <v>2024</v>
      </c>
      <c r="L21" s="21">
        <v>2025</v>
      </c>
      <c r="M21" s="21">
        <v>2026</v>
      </c>
      <c r="N21" s="21">
        <v>2027</v>
      </c>
      <c r="O21" s="21">
        <v>2028</v>
      </c>
      <c r="P21" s="21">
        <v>2029</v>
      </c>
      <c r="Q21" s="21">
        <v>2030</v>
      </c>
    </row>
    <row r="22" spans="1:17" x14ac:dyDescent="0.25">
      <c r="A22" s="7" t="s">
        <v>210</v>
      </c>
      <c r="B22" s="78">
        <v>120</v>
      </c>
      <c r="C22" s="78">
        <v>114.8</v>
      </c>
      <c r="D22" s="78">
        <v>109.6</v>
      </c>
      <c r="E22" s="78">
        <v>104.39999999999999</v>
      </c>
      <c r="F22" s="78">
        <v>99.199999999999989</v>
      </c>
      <c r="G22" s="78">
        <v>93.999999999999986</v>
      </c>
      <c r="H22" s="78">
        <v>92.199999999999989</v>
      </c>
      <c r="I22" s="78">
        <v>90.399999999999991</v>
      </c>
      <c r="J22" s="78">
        <v>88.6</v>
      </c>
      <c r="K22" s="78">
        <v>86.8</v>
      </c>
      <c r="L22" s="78">
        <v>85</v>
      </c>
      <c r="M22" s="78">
        <v>83</v>
      </c>
      <c r="N22" s="78">
        <v>81</v>
      </c>
      <c r="O22" s="78">
        <v>79</v>
      </c>
      <c r="P22" s="78">
        <v>77</v>
      </c>
      <c r="Q22" s="78">
        <v>75</v>
      </c>
    </row>
    <row r="23" spans="1:17" x14ac:dyDescent="0.25">
      <c r="A23" s="7" t="s">
        <v>214</v>
      </c>
      <c r="B23" s="78">
        <v>77</v>
      </c>
      <c r="C23" s="78">
        <v>75.599999999999994</v>
      </c>
      <c r="D23" s="78">
        <v>74.2</v>
      </c>
      <c r="E23" s="78">
        <v>72.799999999999983</v>
      </c>
      <c r="F23" s="78">
        <v>71.399999999999977</v>
      </c>
      <c r="G23" s="78">
        <v>69.999999999999972</v>
      </c>
      <c r="H23" s="78">
        <v>68.399999999999977</v>
      </c>
      <c r="I23" s="78">
        <v>66.799999999999983</v>
      </c>
      <c r="J23" s="78">
        <v>65.199999999999989</v>
      </c>
      <c r="K23" s="78">
        <v>63.599999999999987</v>
      </c>
      <c r="L23" s="78">
        <v>61.999999999999986</v>
      </c>
      <c r="M23" s="78">
        <v>60.599999999999987</v>
      </c>
      <c r="N23" s="78">
        <v>59.199999999999989</v>
      </c>
      <c r="O23" s="78">
        <v>57.79999999999999</v>
      </c>
      <c r="P23" s="78">
        <v>56.399999999999991</v>
      </c>
      <c r="Q23" s="78">
        <v>54.999999999999993</v>
      </c>
    </row>
    <row r="24" spans="1:17" x14ac:dyDescent="0.25">
      <c r="A24" s="7" t="s">
        <v>215</v>
      </c>
      <c r="B24" s="78">
        <v>278</v>
      </c>
      <c r="C24" s="78">
        <v>262.39999999999998</v>
      </c>
      <c r="D24" s="78">
        <v>246.8</v>
      </c>
      <c r="E24" s="78">
        <v>231.2</v>
      </c>
      <c r="F24" s="78">
        <v>215.6</v>
      </c>
      <c r="G24" s="78">
        <v>200</v>
      </c>
      <c r="H24" s="78">
        <v>184</v>
      </c>
      <c r="I24" s="78">
        <v>168</v>
      </c>
      <c r="J24" s="78">
        <v>152</v>
      </c>
      <c r="K24" s="78">
        <v>136</v>
      </c>
      <c r="L24" s="78">
        <v>120</v>
      </c>
      <c r="M24" s="78">
        <v>113.4</v>
      </c>
      <c r="N24" s="78">
        <v>106.80000000000001</v>
      </c>
      <c r="O24" s="78">
        <v>100.20000000000002</v>
      </c>
      <c r="P24" s="78">
        <v>93.600000000000023</v>
      </c>
      <c r="Q24" s="78">
        <v>87.000000000000028</v>
      </c>
    </row>
    <row r="25" spans="1:17" x14ac:dyDescent="0.25">
      <c r="A25" s="7" t="s">
        <v>209</v>
      </c>
      <c r="B25" s="78">
        <v>1100</v>
      </c>
      <c r="C25" s="78">
        <v>1033.3333333333333</v>
      </c>
      <c r="D25" s="78">
        <v>966.66666666666663</v>
      </c>
      <c r="E25" s="78">
        <v>900</v>
      </c>
      <c r="F25" s="78">
        <v>833.33333333333337</v>
      </c>
      <c r="G25" s="78">
        <v>766.66666666666663</v>
      </c>
      <c r="H25" s="78">
        <v>753.33333333333314</v>
      </c>
      <c r="I25" s="78">
        <v>739.99999999999989</v>
      </c>
      <c r="J25" s="78">
        <v>726.66666666666652</v>
      </c>
      <c r="K25" s="78">
        <v>713.33333333333337</v>
      </c>
      <c r="L25" s="78">
        <v>700</v>
      </c>
      <c r="M25" s="78">
        <v>686.66666666666652</v>
      </c>
      <c r="N25" s="78">
        <v>673.33333333333314</v>
      </c>
      <c r="O25" s="78">
        <v>659.99999999999989</v>
      </c>
      <c r="P25" s="78">
        <v>646.66666666666663</v>
      </c>
      <c r="Q25" s="78">
        <v>633.33333333333337</v>
      </c>
    </row>
    <row r="26" spans="1:17" x14ac:dyDescent="0.25">
      <c r="A26" s="7" t="s">
        <v>211</v>
      </c>
      <c r="B26" s="78">
        <v>3000</v>
      </c>
      <c r="C26" s="78">
        <f>$B$26+(C21-$B$21)*($Q$26-$B$26)/($Q$21-$B$21)</f>
        <v>2883.3333333333335</v>
      </c>
      <c r="D26" s="78">
        <f t="shared" ref="D26:P26" si="3">$B$26+(D21-$B$21)*($Q$26-$B$26)/($Q$21-$B$21)</f>
        <v>2766.6666666666665</v>
      </c>
      <c r="E26" s="78">
        <f t="shared" si="3"/>
        <v>2650</v>
      </c>
      <c r="F26" s="78">
        <f t="shared" si="3"/>
        <v>2533.3333333333335</v>
      </c>
      <c r="G26" s="78">
        <f t="shared" si="3"/>
        <v>2416.6666666666665</v>
      </c>
      <c r="H26" s="78">
        <f t="shared" si="3"/>
        <v>2300</v>
      </c>
      <c r="I26" s="78">
        <f t="shared" si="3"/>
        <v>2183.3333333333335</v>
      </c>
      <c r="J26" s="78">
        <f t="shared" si="3"/>
        <v>2066.6666666666665</v>
      </c>
      <c r="K26" s="78">
        <f t="shared" si="3"/>
        <v>1950</v>
      </c>
      <c r="L26" s="78">
        <f t="shared" si="3"/>
        <v>1833.3333333333333</v>
      </c>
      <c r="M26" s="78">
        <f t="shared" si="3"/>
        <v>1716.6666666666667</v>
      </c>
      <c r="N26" s="78">
        <f t="shared" si="3"/>
        <v>1600</v>
      </c>
      <c r="O26" s="78">
        <f t="shared" si="3"/>
        <v>1483.3333333333333</v>
      </c>
      <c r="P26" s="78">
        <f t="shared" si="3"/>
        <v>1366.6666666666667</v>
      </c>
      <c r="Q26" s="78">
        <v>1250</v>
      </c>
    </row>
    <row r="27" spans="1:17" x14ac:dyDescent="0.25">
      <c r="A27" s="7" t="s">
        <v>212</v>
      </c>
      <c r="B27" s="78">
        <v>73</v>
      </c>
      <c r="C27" s="78">
        <f>$B$27+(C21-$B$21)*($Q$27-$B$27)/($Q$21-$B$21)</f>
        <v>70</v>
      </c>
      <c r="D27" s="78">
        <f t="shared" ref="D27:P27" si="4">$B$27+(D21-$B$21)*($Q$27-$B$27)/($Q$21-$B$21)</f>
        <v>67</v>
      </c>
      <c r="E27" s="78">
        <f t="shared" si="4"/>
        <v>64</v>
      </c>
      <c r="F27" s="78">
        <f t="shared" si="4"/>
        <v>61</v>
      </c>
      <c r="G27" s="78">
        <f t="shared" si="4"/>
        <v>58</v>
      </c>
      <c r="H27" s="78">
        <f t="shared" si="4"/>
        <v>55</v>
      </c>
      <c r="I27" s="78">
        <f t="shared" si="4"/>
        <v>52</v>
      </c>
      <c r="J27" s="78">
        <f t="shared" si="4"/>
        <v>49</v>
      </c>
      <c r="K27" s="78">
        <f t="shared" si="4"/>
        <v>46</v>
      </c>
      <c r="L27" s="78">
        <f t="shared" si="4"/>
        <v>43</v>
      </c>
      <c r="M27" s="78">
        <f t="shared" si="4"/>
        <v>40</v>
      </c>
      <c r="N27" s="78">
        <f t="shared" si="4"/>
        <v>37</v>
      </c>
      <c r="O27" s="78">
        <f t="shared" si="4"/>
        <v>34</v>
      </c>
      <c r="P27" s="78">
        <f t="shared" si="4"/>
        <v>31</v>
      </c>
      <c r="Q27" s="78">
        <v>28</v>
      </c>
    </row>
    <row r="28" spans="1:17" x14ac:dyDescent="0.25">
      <c r="A28" s="7" t="s">
        <v>213</v>
      </c>
      <c r="B28" s="78">
        <v>2750</v>
      </c>
      <c r="C28" s="78">
        <f t="shared" ref="C28:P28" si="5">$B$28+(C21-$B$21)*($Q$28-$B$28)/($Q$21-$B$21)</f>
        <v>2589.3333333333335</v>
      </c>
      <c r="D28" s="78">
        <f t="shared" si="5"/>
        <v>2428.6666666666665</v>
      </c>
      <c r="E28" s="78">
        <f t="shared" si="5"/>
        <v>2268</v>
      </c>
      <c r="F28" s="78">
        <f t="shared" si="5"/>
        <v>2107.3333333333335</v>
      </c>
      <c r="G28" s="78">
        <f t="shared" si="5"/>
        <v>1946.6666666666665</v>
      </c>
      <c r="H28" s="78">
        <f t="shared" si="5"/>
        <v>1786</v>
      </c>
      <c r="I28" s="78">
        <f t="shared" si="5"/>
        <v>1625.3333333333333</v>
      </c>
      <c r="J28" s="78">
        <f t="shared" si="5"/>
        <v>1464.6666666666667</v>
      </c>
      <c r="K28" s="78">
        <f t="shared" si="5"/>
        <v>1304</v>
      </c>
      <c r="L28" s="78">
        <f t="shared" si="5"/>
        <v>1143.3333333333333</v>
      </c>
      <c r="M28" s="78">
        <f t="shared" si="5"/>
        <v>982.66666666666674</v>
      </c>
      <c r="N28" s="78">
        <f t="shared" si="5"/>
        <v>822</v>
      </c>
      <c r="O28" s="78">
        <f t="shared" si="5"/>
        <v>661.33333333333348</v>
      </c>
      <c r="P28" s="78">
        <f t="shared" si="5"/>
        <v>500.66666666666652</v>
      </c>
      <c r="Q28" s="78">
        <v>340</v>
      </c>
    </row>
    <row r="29" spans="1:17" x14ac:dyDescent="0.25">
      <c r="A29" s="7" t="s">
        <v>208</v>
      </c>
      <c r="B29" s="78">
        <f>1200</f>
        <v>1200</v>
      </c>
      <c r="C29" s="78">
        <f>$B$29+(C21-$B$21)*($Q$29-$B$29)/($Q$21-$B$21)</f>
        <v>1160</v>
      </c>
      <c r="D29" s="78">
        <f t="shared" ref="D29:P29" si="6">$B$29+(D21-$B$21)*($Q$29-$B$29)/($Q$21-$B$21)</f>
        <v>1120</v>
      </c>
      <c r="E29" s="78">
        <f t="shared" si="6"/>
        <v>1080</v>
      </c>
      <c r="F29" s="78">
        <f t="shared" si="6"/>
        <v>1040</v>
      </c>
      <c r="G29" s="78">
        <f t="shared" si="6"/>
        <v>1000</v>
      </c>
      <c r="H29" s="78">
        <f t="shared" si="6"/>
        <v>960</v>
      </c>
      <c r="I29" s="78">
        <f t="shared" si="6"/>
        <v>920</v>
      </c>
      <c r="J29" s="78">
        <f t="shared" si="6"/>
        <v>880</v>
      </c>
      <c r="K29" s="78">
        <f t="shared" si="6"/>
        <v>840</v>
      </c>
      <c r="L29" s="78">
        <f t="shared" si="6"/>
        <v>800</v>
      </c>
      <c r="M29" s="78">
        <f t="shared" si="6"/>
        <v>760</v>
      </c>
      <c r="N29" s="78">
        <f t="shared" si="6"/>
        <v>720</v>
      </c>
      <c r="O29" s="78">
        <f t="shared" si="6"/>
        <v>680</v>
      </c>
      <c r="P29" s="78">
        <f t="shared" si="6"/>
        <v>640</v>
      </c>
      <c r="Q29" s="78">
        <f>600</f>
        <v>600</v>
      </c>
    </row>
    <row r="30" spans="1:17" x14ac:dyDescent="0.25">
      <c r="A30" s="7" t="s">
        <v>230</v>
      </c>
      <c r="B30" s="78">
        <v>100</v>
      </c>
      <c r="C30" s="78">
        <v>100</v>
      </c>
      <c r="D30" s="78">
        <v>100</v>
      </c>
      <c r="E30" s="78">
        <v>100</v>
      </c>
      <c r="F30" s="78">
        <v>100</v>
      </c>
      <c r="G30" s="78">
        <v>100</v>
      </c>
      <c r="H30" s="78">
        <v>100</v>
      </c>
      <c r="I30" s="78">
        <v>100</v>
      </c>
      <c r="J30" s="78">
        <v>100</v>
      </c>
      <c r="K30" s="78">
        <v>100</v>
      </c>
      <c r="L30" s="78">
        <v>100</v>
      </c>
      <c r="M30" s="78">
        <v>100</v>
      </c>
      <c r="N30" s="78">
        <v>100</v>
      </c>
      <c r="O30" s="78">
        <v>100</v>
      </c>
      <c r="P30" s="78">
        <v>100</v>
      </c>
      <c r="Q30" s="78">
        <v>100</v>
      </c>
    </row>
    <row r="31" spans="1:17" x14ac:dyDescent="0.25">
      <c r="A31" s="7" t="s">
        <v>216</v>
      </c>
      <c r="B31" s="78">
        <v>100</v>
      </c>
      <c r="C31" s="78">
        <v>100</v>
      </c>
      <c r="D31" s="78">
        <v>100</v>
      </c>
      <c r="E31" s="78">
        <v>100</v>
      </c>
      <c r="F31" s="78">
        <v>100</v>
      </c>
      <c r="G31" s="78">
        <v>100</v>
      </c>
      <c r="H31" s="78">
        <v>100</v>
      </c>
      <c r="I31" s="78">
        <v>100</v>
      </c>
      <c r="J31" s="78">
        <v>100</v>
      </c>
      <c r="K31" s="78">
        <v>100</v>
      </c>
      <c r="L31" s="78">
        <v>100</v>
      </c>
      <c r="M31" s="78">
        <v>100</v>
      </c>
      <c r="N31" s="78">
        <v>100</v>
      </c>
      <c r="O31" s="78">
        <v>100</v>
      </c>
      <c r="P31" s="78">
        <v>100</v>
      </c>
      <c r="Q31" s="78">
        <v>100</v>
      </c>
    </row>
    <row r="32" spans="1:17" x14ac:dyDescent="0.25">
      <c r="A32" s="7" t="s">
        <v>217</v>
      </c>
      <c r="B32" s="78">
        <v>100</v>
      </c>
      <c r="C32" s="78">
        <v>100</v>
      </c>
      <c r="D32" s="78">
        <v>100</v>
      </c>
      <c r="E32" s="78">
        <v>100</v>
      </c>
      <c r="F32" s="78">
        <v>100</v>
      </c>
      <c r="G32" s="78">
        <v>100</v>
      </c>
      <c r="H32" s="78">
        <v>100</v>
      </c>
      <c r="I32" s="78">
        <v>100</v>
      </c>
      <c r="J32" s="78">
        <v>100</v>
      </c>
      <c r="K32" s="78">
        <v>100</v>
      </c>
      <c r="L32" s="78">
        <v>100</v>
      </c>
      <c r="M32" s="78">
        <v>100</v>
      </c>
      <c r="N32" s="78">
        <v>100</v>
      </c>
      <c r="O32" s="78">
        <v>100</v>
      </c>
      <c r="P32" s="78">
        <v>100</v>
      </c>
      <c r="Q32" s="78">
        <v>100</v>
      </c>
    </row>
    <row r="33" spans="1:17" x14ac:dyDescent="0.25">
      <c r="A33" s="7" t="s">
        <v>218</v>
      </c>
      <c r="B33" s="78">
        <v>100</v>
      </c>
      <c r="C33" s="78">
        <v>100</v>
      </c>
      <c r="D33" s="78">
        <v>100</v>
      </c>
      <c r="E33" s="78">
        <v>100</v>
      </c>
      <c r="F33" s="78">
        <v>100</v>
      </c>
      <c r="G33" s="78">
        <v>100</v>
      </c>
      <c r="H33" s="78">
        <v>100</v>
      </c>
      <c r="I33" s="78">
        <v>100</v>
      </c>
      <c r="J33" s="78">
        <v>100</v>
      </c>
      <c r="K33" s="78">
        <v>100</v>
      </c>
      <c r="L33" s="78">
        <v>100</v>
      </c>
      <c r="M33" s="78">
        <v>100</v>
      </c>
      <c r="N33" s="78">
        <v>100</v>
      </c>
      <c r="O33" s="78">
        <v>100</v>
      </c>
      <c r="P33" s="78">
        <v>100</v>
      </c>
      <c r="Q33" s="78">
        <v>100</v>
      </c>
    </row>
    <row r="35" spans="1:17" ht="15.75" thickBot="1" x14ac:dyDescent="0.3">
      <c r="A35" s="21" t="s">
        <v>131</v>
      </c>
      <c r="B35" s="21">
        <v>2015</v>
      </c>
      <c r="C35" s="21">
        <v>2016</v>
      </c>
      <c r="D35" s="21">
        <v>2017</v>
      </c>
      <c r="E35" s="21">
        <v>2018</v>
      </c>
      <c r="F35" s="21">
        <v>2019</v>
      </c>
      <c r="G35" s="21">
        <v>2020</v>
      </c>
      <c r="H35" s="21">
        <v>2021</v>
      </c>
      <c r="I35" s="21">
        <v>2022</v>
      </c>
      <c r="J35" s="21">
        <v>2023</v>
      </c>
      <c r="K35" s="21">
        <v>2024</v>
      </c>
      <c r="L35" s="21">
        <v>2025</v>
      </c>
      <c r="M35" s="21">
        <v>2026</v>
      </c>
      <c r="N35" s="21">
        <v>2027</v>
      </c>
      <c r="O35" s="21">
        <v>2028</v>
      </c>
      <c r="P35" s="21">
        <v>2029</v>
      </c>
      <c r="Q35" s="21">
        <v>2030</v>
      </c>
    </row>
    <row r="36" spans="1:17" x14ac:dyDescent="0.25">
      <c r="A36" s="7" t="s">
        <v>15</v>
      </c>
      <c r="B36" s="78">
        <v>725</v>
      </c>
      <c r="C36" s="78">
        <v>661</v>
      </c>
      <c r="D36" s="78">
        <v>597</v>
      </c>
      <c r="E36" s="78">
        <v>533</v>
      </c>
      <c r="F36" s="78">
        <v>469</v>
      </c>
      <c r="G36" s="78">
        <v>405</v>
      </c>
      <c r="H36" s="78">
        <v>386.3</v>
      </c>
      <c r="I36" s="78">
        <v>367.6</v>
      </c>
      <c r="J36" s="78">
        <v>348.9</v>
      </c>
      <c r="K36" s="78">
        <v>330.2</v>
      </c>
      <c r="L36" s="78">
        <v>311.5</v>
      </c>
      <c r="M36" s="78">
        <v>292.8</v>
      </c>
      <c r="N36" s="78">
        <v>274.10000000000002</v>
      </c>
      <c r="O36" s="78">
        <v>255.4</v>
      </c>
      <c r="P36" s="78">
        <v>236.7</v>
      </c>
      <c r="Q36" s="78">
        <v>218</v>
      </c>
    </row>
    <row r="37" spans="1:17" x14ac:dyDescent="0.25">
      <c r="A37" s="7" t="s">
        <v>16</v>
      </c>
      <c r="B37" s="78">
        <v>350</v>
      </c>
      <c r="C37" s="78">
        <v>273</v>
      </c>
      <c r="D37" s="78">
        <v>209</v>
      </c>
      <c r="E37" s="78">
        <v>178.7</v>
      </c>
      <c r="F37" s="78">
        <v>157.9</v>
      </c>
      <c r="G37" s="78">
        <v>143</v>
      </c>
      <c r="H37" s="78">
        <v>131</v>
      </c>
      <c r="I37" s="78">
        <v>120.9</v>
      </c>
      <c r="J37" s="78">
        <v>111.8</v>
      </c>
      <c r="K37" s="78">
        <v>103.6</v>
      </c>
      <c r="L37" s="78">
        <v>96.5</v>
      </c>
      <c r="M37" s="78">
        <v>90.1</v>
      </c>
      <c r="N37" s="78">
        <v>84.2</v>
      </c>
      <c r="O37" s="78">
        <v>78.900000000000006</v>
      </c>
      <c r="P37" s="78">
        <v>74</v>
      </c>
      <c r="Q37" s="78">
        <v>69.5</v>
      </c>
    </row>
    <row r="38" spans="1:17" x14ac:dyDescent="0.25">
      <c r="A38" s="7" t="s">
        <v>135</v>
      </c>
      <c r="B38" s="78">
        <v>1000</v>
      </c>
      <c r="C38" s="78">
        <v>800</v>
      </c>
      <c r="D38" s="78">
        <v>642</v>
      </c>
      <c r="E38" s="78">
        <v>599</v>
      </c>
      <c r="F38" s="78">
        <v>540</v>
      </c>
      <c r="G38" s="78">
        <v>350</v>
      </c>
      <c r="H38" s="78">
        <v>273</v>
      </c>
      <c r="I38" s="78">
        <v>209</v>
      </c>
      <c r="J38" s="78">
        <v>179</v>
      </c>
      <c r="K38" s="78">
        <v>158</v>
      </c>
      <c r="L38" s="78">
        <v>143</v>
      </c>
      <c r="M38" s="78">
        <v>131</v>
      </c>
      <c r="N38" s="78">
        <v>121</v>
      </c>
      <c r="O38" s="78">
        <v>112</v>
      </c>
      <c r="P38" s="78">
        <v>104</v>
      </c>
      <c r="Q38" s="78">
        <v>96</v>
      </c>
    </row>
    <row r="39" spans="1:17" x14ac:dyDescent="0.25">
      <c r="A39" s="7" t="s">
        <v>65</v>
      </c>
      <c r="B39" s="78">
        <v>325</v>
      </c>
      <c r="C39" s="78">
        <f>B39-19.4</f>
        <v>305.60000000000002</v>
      </c>
      <c r="D39" s="78">
        <f>C39-19.4</f>
        <v>286.20000000000005</v>
      </c>
      <c r="E39" s="78">
        <f>D39-19.4</f>
        <v>266.80000000000007</v>
      </c>
      <c r="F39" s="78">
        <f>E39-19.4</f>
        <v>247.40000000000006</v>
      </c>
      <c r="G39" s="78">
        <f>F39-19.4</f>
        <v>228.00000000000006</v>
      </c>
      <c r="H39" s="78">
        <f>G39-12</f>
        <v>216.00000000000006</v>
      </c>
      <c r="I39" s="78">
        <f>H39-12</f>
        <v>204.00000000000006</v>
      </c>
      <c r="J39" s="78">
        <f>I39-12</f>
        <v>192.00000000000006</v>
      </c>
      <c r="K39" s="78">
        <f>J39-12</f>
        <v>180.00000000000006</v>
      </c>
      <c r="L39" s="78">
        <f>K39-12</f>
        <v>168.00000000000006</v>
      </c>
      <c r="M39" s="78">
        <f>L39-9.6</f>
        <v>158.40000000000006</v>
      </c>
      <c r="N39" s="78">
        <f>M39-9.6</f>
        <v>148.80000000000007</v>
      </c>
      <c r="O39" s="78">
        <f>N39-9.6</f>
        <v>139.20000000000007</v>
      </c>
      <c r="P39" s="78">
        <f>O39-9.6</f>
        <v>129.60000000000008</v>
      </c>
      <c r="Q39" s="78">
        <v>120</v>
      </c>
    </row>
    <row r="40" spans="1:17" x14ac:dyDescent="0.25">
      <c r="A40" s="7" t="s">
        <v>93</v>
      </c>
      <c r="B40" s="78">
        <v>730</v>
      </c>
      <c r="C40" s="78">
        <f t="shared" ref="C40:O40" si="7">D40+32</f>
        <v>698</v>
      </c>
      <c r="D40" s="78">
        <f t="shared" si="7"/>
        <v>666</v>
      </c>
      <c r="E40" s="78">
        <f t="shared" si="7"/>
        <v>634</v>
      </c>
      <c r="F40" s="78">
        <f t="shared" si="7"/>
        <v>602</v>
      </c>
      <c r="G40" s="78">
        <f t="shared" si="7"/>
        <v>570</v>
      </c>
      <c r="H40" s="78">
        <f t="shared" si="7"/>
        <v>538</v>
      </c>
      <c r="I40" s="78">
        <f t="shared" si="7"/>
        <v>506</v>
      </c>
      <c r="J40" s="78">
        <f t="shared" si="7"/>
        <v>474</v>
      </c>
      <c r="K40" s="78">
        <f t="shared" si="7"/>
        <v>442</v>
      </c>
      <c r="L40" s="78">
        <f t="shared" si="7"/>
        <v>410</v>
      </c>
      <c r="M40" s="78">
        <f t="shared" si="7"/>
        <v>378</v>
      </c>
      <c r="N40" s="78">
        <f t="shared" si="7"/>
        <v>346</v>
      </c>
      <c r="O40" s="78">
        <f t="shared" si="7"/>
        <v>314</v>
      </c>
      <c r="P40" s="78">
        <f>Q40+32</f>
        <v>282</v>
      </c>
      <c r="Q40" s="78">
        <v>250</v>
      </c>
    </row>
    <row r="41" spans="1:17" x14ac:dyDescent="0.25">
      <c r="A41" s="7" t="s">
        <v>219</v>
      </c>
      <c r="B41" s="78">
        <v>100</v>
      </c>
      <c r="C41" s="78">
        <v>100</v>
      </c>
      <c r="D41" s="78">
        <v>100</v>
      </c>
      <c r="E41" s="78">
        <v>100</v>
      </c>
      <c r="F41" s="78">
        <v>100</v>
      </c>
      <c r="G41" s="78">
        <v>100</v>
      </c>
      <c r="H41" s="78">
        <v>100</v>
      </c>
      <c r="I41" s="78">
        <v>100</v>
      </c>
      <c r="J41" s="78">
        <v>100</v>
      </c>
      <c r="K41" s="78">
        <v>100</v>
      </c>
      <c r="L41" s="78">
        <v>100</v>
      </c>
      <c r="M41" s="78">
        <v>100</v>
      </c>
      <c r="N41" s="78">
        <v>100</v>
      </c>
      <c r="O41" s="78">
        <v>100</v>
      </c>
      <c r="P41" s="78">
        <v>100</v>
      </c>
      <c r="Q41" s="78">
        <v>100</v>
      </c>
    </row>
    <row r="43" spans="1:17" ht="15.75" thickBot="1" x14ac:dyDescent="0.3">
      <c r="A43" s="77" t="s">
        <v>161</v>
      </c>
      <c r="B43" s="21"/>
      <c r="C43" s="21"/>
      <c r="D43" s="21"/>
      <c r="E43" s="21">
        <v>2018</v>
      </c>
      <c r="F43" s="21">
        <v>2019</v>
      </c>
      <c r="G43" s="21">
        <v>2020</v>
      </c>
      <c r="H43" s="21">
        <v>2021</v>
      </c>
      <c r="I43" s="21">
        <v>2022</v>
      </c>
      <c r="J43" s="21">
        <v>2023</v>
      </c>
      <c r="K43" s="21">
        <v>2024</v>
      </c>
      <c r="L43" s="21">
        <v>2025</v>
      </c>
      <c r="M43" s="21">
        <v>2026</v>
      </c>
      <c r="N43" s="21">
        <v>2027</v>
      </c>
      <c r="O43" s="21">
        <v>2028</v>
      </c>
      <c r="P43" s="21">
        <v>2029</v>
      </c>
      <c r="Q43" s="21">
        <v>2030</v>
      </c>
    </row>
    <row r="44" spans="1:17" x14ac:dyDescent="0.25">
      <c r="A44" s="7" t="s">
        <v>72</v>
      </c>
      <c r="B44" s="7"/>
      <c r="C44" s="7"/>
      <c r="D44" s="7"/>
      <c r="E44" s="26">
        <v>5.87</v>
      </c>
      <c r="F44" s="26">
        <v>5.87</v>
      </c>
      <c r="G44" s="26">
        <v>5.87</v>
      </c>
      <c r="H44" s="26">
        <v>6.66</v>
      </c>
      <c r="I44" s="26">
        <v>6.66</v>
      </c>
      <c r="J44" s="26">
        <v>6.66</v>
      </c>
      <c r="K44" s="26">
        <v>7.03</v>
      </c>
      <c r="L44" s="26">
        <v>7.03</v>
      </c>
      <c r="M44" s="26">
        <v>7.03</v>
      </c>
      <c r="N44" s="26">
        <v>7.3</v>
      </c>
      <c r="O44" s="26">
        <v>7.3</v>
      </c>
      <c r="P44" s="26">
        <v>7.3</v>
      </c>
      <c r="Q44" s="26">
        <v>7.3</v>
      </c>
    </row>
    <row r="45" spans="1:17" x14ac:dyDescent="0.25">
      <c r="A45" s="7" t="s">
        <v>73</v>
      </c>
      <c r="B45" s="7"/>
      <c r="C45" s="7"/>
      <c r="D45" s="7"/>
      <c r="E45" s="26">
        <f>1/2.1</f>
        <v>0.47619047619047616</v>
      </c>
      <c r="F45" s="26">
        <f>$E45*F44/$E44</f>
        <v>0.47619047619047616</v>
      </c>
      <c r="G45" s="26">
        <f t="shared" ref="G45" si="8">$E45*G44/$E44</f>
        <v>0.47619047619047616</v>
      </c>
      <c r="H45" s="26">
        <f t="shared" ref="H45" si="9">$E45*H44/$E44</f>
        <v>0.54027743976636644</v>
      </c>
      <c r="I45" s="26">
        <f t="shared" ref="I45" si="10">$E45*I44/$E44</f>
        <v>0.54027743976636644</v>
      </c>
      <c r="J45" s="26">
        <f t="shared" ref="J45" si="11">$E45*J44/$E44</f>
        <v>0.54027743976636644</v>
      </c>
      <c r="K45" s="26">
        <f t="shared" ref="K45" si="12">$E45*K44/$E44</f>
        <v>0.57029285308672018</v>
      </c>
      <c r="L45" s="26">
        <f t="shared" ref="L45" si="13">$E45*L44/$E44</f>
        <v>0.57029285308672018</v>
      </c>
      <c r="M45" s="26">
        <f t="shared" ref="M45" si="14">$E45*M44/$E44</f>
        <v>0.57029285308672018</v>
      </c>
      <c r="N45" s="26">
        <f t="shared" ref="N45" si="15">$E45*N44/$E44</f>
        <v>0.59219599253670796</v>
      </c>
      <c r="O45" s="26">
        <f t="shared" ref="O45" si="16">$E45*O44/$E44</f>
        <v>0.59219599253670796</v>
      </c>
      <c r="P45" s="26">
        <f t="shared" ref="P45" si="17">$E45*P44/$E44</f>
        <v>0.59219599253670796</v>
      </c>
      <c r="Q45" s="26">
        <f t="shared" ref="Q45" si="18">$E45*Q44/$E44</f>
        <v>0.59219599253670796</v>
      </c>
    </row>
    <row r="46" spans="1:17" x14ac:dyDescent="0.25">
      <c r="A46" s="7" t="s">
        <v>74</v>
      </c>
      <c r="B46" s="7"/>
      <c r="C46" s="7"/>
      <c r="D46" s="7"/>
      <c r="E46" s="26">
        <f t="shared" ref="E46:Q46" si="19">E44*1.9</f>
        <v>11.153</v>
      </c>
      <c r="F46" s="26">
        <f t="shared" si="19"/>
        <v>11.153</v>
      </c>
      <c r="G46" s="26">
        <f t="shared" si="19"/>
        <v>11.153</v>
      </c>
      <c r="H46" s="26">
        <f t="shared" si="19"/>
        <v>12.654</v>
      </c>
      <c r="I46" s="26">
        <f t="shared" si="19"/>
        <v>12.654</v>
      </c>
      <c r="J46" s="26">
        <f t="shared" si="19"/>
        <v>12.654</v>
      </c>
      <c r="K46" s="26">
        <f t="shared" si="19"/>
        <v>13.356999999999999</v>
      </c>
      <c r="L46" s="26">
        <f t="shared" si="19"/>
        <v>13.356999999999999</v>
      </c>
      <c r="M46" s="26">
        <f t="shared" si="19"/>
        <v>13.356999999999999</v>
      </c>
      <c r="N46" s="26">
        <f t="shared" si="19"/>
        <v>13.87</v>
      </c>
      <c r="O46" s="26">
        <f t="shared" si="19"/>
        <v>13.87</v>
      </c>
      <c r="P46" s="26">
        <f t="shared" si="19"/>
        <v>13.87</v>
      </c>
      <c r="Q46" s="26">
        <f t="shared" si="19"/>
        <v>13.87</v>
      </c>
    </row>
    <row r="47" spans="1:17" x14ac:dyDescent="0.25">
      <c r="A47" s="7" t="s">
        <v>178</v>
      </c>
      <c r="B47" s="7"/>
      <c r="C47" s="7"/>
      <c r="D47" s="7"/>
      <c r="E47" s="26">
        <v>8.5</v>
      </c>
      <c r="F47" s="26">
        <v>8.5</v>
      </c>
      <c r="G47" s="26">
        <v>8.5</v>
      </c>
      <c r="H47" s="26">
        <v>9.58</v>
      </c>
      <c r="I47" s="26">
        <v>9.58</v>
      </c>
      <c r="J47" s="26">
        <v>9.58</v>
      </c>
      <c r="K47" s="26">
        <v>10.38</v>
      </c>
      <c r="L47" s="26">
        <v>10.38</v>
      </c>
      <c r="M47" s="26">
        <v>10.38</v>
      </c>
      <c r="N47" s="26">
        <v>10.82</v>
      </c>
      <c r="O47" s="26">
        <v>10.82</v>
      </c>
      <c r="P47" s="26">
        <v>10.82</v>
      </c>
      <c r="Q47" s="26">
        <v>10.82</v>
      </c>
    </row>
    <row r="48" spans="1:17" x14ac:dyDescent="0.25">
      <c r="A48" s="7" t="s">
        <v>179</v>
      </c>
      <c r="B48" s="7"/>
      <c r="C48" s="7"/>
      <c r="D48" s="7"/>
      <c r="E48" s="26">
        <f>1/0.8</f>
        <v>1.25</v>
      </c>
      <c r="F48" s="26">
        <f>$E48*F47/$E47</f>
        <v>1.25</v>
      </c>
      <c r="G48" s="26">
        <f t="shared" ref="G48" si="20">$E48*G47/$E47</f>
        <v>1.25</v>
      </c>
      <c r="H48" s="26">
        <f t="shared" ref="H48" si="21">$E48*H47/$E47</f>
        <v>1.4088235294117646</v>
      </c>
      <c r="I48" s="26">
        <f t="shared" ref="I48" si="22">$E48*I47/$E47</f>
        <v>1.4088235294117646</v>
      </c>
      <c r="J48" s="26">
        <f t="shared" ref="J48" si="23">$E48*J47/$E47</f>
        <v>1.4088235294117646</v>
      </c>
      <c r="K48" s="26">
        <f t="shared" ref="K48" si="24">$E48*K47/$E47</f>
        <v>1.5264705882352942</v>
      </c>
      <c r="L48" s="26">
        <f t="shared" ref="L48" si="25">$E48*L47/$E47</f>
        <v>1.5264705882352942</v>
      </c>
      <c r="M48" s="26">
        <f t="shared" ref="M48" si="26">$E48*M47/$E47</f>
        <v>1.5264705882352942</v>
      </c>
      <c r="N48" s="26">
        <f t="shared" ref="N48" si="27">$E48*N47/$E47</f>
        <v>1.5911764705882354</v>
      </c>
      <c r="O48" s="26">
        <f t="shared" ref="O48" si="28">$E48*O47/$E47</f>
        <v>1.5911764705882354</v>
      </c>
      <c r="P48" s="26">
        <f t="shared" ref="P48" si="29">$E48*P47/$E47</f>
        <v>1.5911764705882354</v>
      </c>
      <c r="Q48" s="26">
        <f t="shared" ref="Q48" si="30">$E48*Q47/$E47</f>
        <v>1.5911764705882354</v>
      </c>
    </row>
    <row r="49" spans="1:17" x14ac:dyDescent="0.25">
      <c r="A49" s="7" t="s">
        <v>180</v>
      </c>
      <c r="B49" s="7"/>
      <c r="C49" s="7"/>
      <c r="D49" s="7"/>
      <c r="E49" s="26">
        <f t="shared" ref="E49:Q49" si="31">E47*1.9</f>
        <v>16.149999999999999</v>
      </c>
      <c r="F49" s="26">
        <f t="shared" si="31"/>
        <v>16.149999999999999</v>
      </c>
      <c r="G49" s="26">
        <f t="shared" si="31"/>
        <v>16.149999999999999</v>
      </c>
      <c r="H49" s="26">
        <f t="shared" si="31"/>
        <v>18.201999999999998</v>
      </c>
      <c r="I49" s="26">
        <f t="shared" si="31"/>
        <v>18.201999999999998</v>
      </c>
      <c r="J49" s="26">
        <f t="shared" si="31"/>
        <v>18.201999999999998</v>
      </c>
      <c r="K49" s="26">
        <f t="shared" si="31"/>
        <v>19.722000000000001</v>
      </c>
      <c r="L49" s="26">
        <f t="shared" si="31"/>
        <v>19.722000000000001</v>
      </c>
      <c r="M49" s="26">
        <f t="shared" si="31"/>
        <v>19.722000000000001</v>
      </c>
      <c r="N49" s="26">
        <f t="shared" si="31"/>
        <v>20.558</v>
      </c>
      <c r="O49" s="26">
        <f t="shared" si="31"/>
        <v>20.558</v>
      </c>
      <c r="P49" s="26">
        <f t="shared" si="31"/>
        <v>20.558</v>
      </c>
      <c r="Q49" s="26">
        <f t="shared" si="31"/>
        <v>20.558</v>
      </c>
    </row>
    <row r="50" spans="1:17" x14ac:dyDescent="0.25">
      <c r="A50" s="7" t="s">
        <v>182</v>
      </c>
      <c r="B50" s="7"/>
      <c r="C50" s="7"/>
      <c r="D50" s="7"/>
      <c r="E50" s="26">
        <v>6.11</v>
      </c>
      <c r="F50" s="26">
        <v>6.11</v>
      </c>
      <c r="G50" s="26">
        <v>6.11</v>
      </c>
      <c r="H50" s="26">
        <v>6.78</v>
      </c>
      <c r="I50" s="26">
        <v>6.78</v>
      </c>
      <c r="J50" s="26">
        <v>6.78</v>
      </c>
      <c r="K50" s="26">
        <v>7.31</v>
      </c>
      <c r="L50" s="26">
        <v>7.31</v>
      </c>
      <c r="M50" s="26">
        <v>7.31</v>
      </c>
      <c r="N50" s="26">
        <v>7.65</v>
      </c>
      <c r="O50" s="26">
        <v>7.65</v>
      </c>
      <c r="P50" s="26">
        <v>7.65</v>
      </c>
      <c r="Q50" s="26">
        <v>7.65</v>
      </c>
    </row>
    <row r="51" spans="1:17" x14ac:dyDescent="0.25">
      <c r="A51" s="7" t="s">
        <v>183</v>
      </c>
      <c r="B51" s="7"/>
      <c r="C51" s="7"/>
      <c r="D51" s="7"/>
      <c r="E51" s="26">
        <f>1/1.4</f>
        <v>0.7142857142857143</v>
      </c>
      <c r="F51" s="26">
        <f>$E51*F50/$E50</f>
        <v>0.7142857142857143</v>
      </c>
      <c r="G51" s="26">
        <f t="shared" ref="G51" si="32">$E51*G50/$E50</f>
        <v>0.7142857142857143</v>
      </c>
      <c r="H51" s="26">
        <f t="shared" ref="H51" si="33">$E51*H50/$E50</f>
        <v>0.79261164367547354</v>
      </c>
      <c r="I51" s="26">
        <f t="shared" ref="I51" si="34">$E51*I50/$E50</f>
        <v>0.79261164367547354</v>
      </c>
      <c r="J51" s="26">
        <f t="shared" ref="J51" si="35">$E51*J50/$E50</f>
        <v>0.79261164367547354</v>
      </c>
      <c r="K51" s="26">
        <f t="shared" ref="K51" si="36">$E51*K50/$E50</f>
        <v>0.8545709609539397</v>
      </c>
      <c r="L51" s="26">
        <f t="shared" ref="L51" si="37">$E51*L50/$E50</f>
        <v>0.8545709609539397</v>
      </c>
      <c r="M51" s="26">
        <f t="shared" ref="M51" si="38">$E51*M50/$E50</f>
        <v>0.8545709609539397</v>
      </c>
      <c r="N51" s="26">
        <f t="shared" ref="N51" si="39">$E51*N50/$E50</f>
        <v>0.89431844750993683</v>
      </c>
      <c r="O51" s="26">
        <f t="shared" ref="O51" si="40">$E51*O50/$E50</f>
        <v>0.89431844750993683</v>
      </c>
      <c r="P51" s="26">
        <f t="shared" ref="P51" si="41">$E51*P50/$E50</f>
        <v>0.89431844750993683</v>
      </c>
      <c r="Q51" s="26">
        <f t="shared" ref="Q51" si="42">$E51*Q50/$E50</f>
        <v>0.89431844750993683</v>
      </c>
    </row>
    <row r="52" spans="1:17" x14ac:dyDescent="0.25">
      <c r="A52" s="7" t="s">
        <v>184</v>
      </c>
      <c r="B52" s="7"/>
      <c r="C52" s="7"/>
      <c r="D52" s="7"/>
      <c r="E52" s="26">
        <f>E50*1.9</f>
        <v>11.609</v>
      </c>
      <c r="F52" s="26">
        <f t="shared" ref="F52:Q52" si="43">F50*1.9</f>
        <v>11.609</v>
      </c>
      <c r="G52" s="26">
        <f t="shared" si="43"/>
        <v>11.609</v>
      </c>
      <c r="H52" s="26">
        <f t="shared" si="43"/>
        <v>12.882</v>
      </c>
      <c r="I52" s="26">
        <f t="shared" si="43"/>
        <v>12.882</v>
      </c>
      <c r="J52" s="26">
        <f t="shared" si="43"/>
        <v>12.882</v>
      </c>
      <c r="K52" s="26">
        <f t="shared" si="43"/>
        <v>13.888999999999999</v>
      </c>
      <c r="L52" s="26">
        <f t="shared" si="43"/>
        <v>13.888999999999999</v>
      </c>
      <c r="M52" s="26">
        <f t="shared" si="43"/>
        <v>13.888999999999999</v>
      </c>
      <c r="N52" s="26">
        <f t="shared" si="43"/>
        <v>14.535</v>
      </c>
      <c r="O52" s="26">
        <f t="shared" si="43"/>
        <v>14.535</v>
      </c>
      <c r="P52" s="26">
        <f t="shared" si="43"/>
        <v>14.535</v>
      </c>
      <c r="Q52" s="26">
        <f t="shared" si="43"/>
        <v>14.535</v>
      </c>
    </row>
    <row r="53" spans="1:17" x14ac:dyDescent="0.25">
      <c r="A53" s="7" t="s">
        <v>186</v>
      </c>
      <c r="B53" s="7"/>
      <c r="C53" s="7"/>
      <c r="D53" s="7"/>
      <c r="E53" s="26">
        <v>4.68</v>
      </c>
      <c r="F53" s="26">
        <v>4.68</v>
      </c>
      <c r="G53" s="26">
        <v>4.68</v>
      </c>
      <c r="H53" s="26">
        <v>5.14</v>
      </c>
      <c r="I53" s="26">
        <v>5.14</v>
      </c>
      <c r="J53" s="26">
        <v>5.14</v>
      </c>
      <c r="K53" s="26">
        <v>5.55</v>
      </c>
      <c r="L53" s="26">
        <v>5.55</v>
      </c>
      <c r="M53" s="26">
        <v>5.55</v>
      </c>
      <c r="N53" s="26">
        <v>5.84</v>
      </c>
      <c r="O53" s="26">
        <v>5.84</v>
      </c>
      <c r="P53" s="26">
        <v>5.84</v>
      </c>
      <c r="Q53" s="26">
        <v>5.84</v>
      </c>
    </row>
    <row r="54" spans="1:17" x14ac:dyDescent="0.25">
      <c r="A54" s="7" t="s">
        <v>187</v>
      </c>
      <c r="B54" s="7"/>
      <c r="C54" s="7"/>
      <c r="D54" s="7"/>
      <c r="E54" s="26">
        <f>1/1.8</f>
        <v>0.55555555555555558</v>
      </c>
      <c r="F54" s="26">
        <f>$E54*F53/$E53</f>
        <v>0.55555555555555558</v>
      </c>
      <c r="G54" s="26">
        <f t="shared" ref="G54" si="44">$E54*G53/$E53</f>
        <v>0.55555555555555558</v>
      </c>
      <c r="H54" s="26">
        <f t="shared" ref="H54" si="45">$E54*H53/$E53</f>
        <v>0.61016144349477686</v>
      </c>
      <c r="I54" s="26">
        <f t="shared" ref="I54" si="46">$E54*I53/$E53</f>
        <v>0.61016144349477686</v>
      </c>
      <c r="J54" s="26">
        <f t="shared" ref="J54" si="47">$E54*J53/$E53</f>
        <v>0.61016144349477686</v>
      </c>
      <c r="K54" s="26">
        <f t="shared" ref="K54" si="48">$E54*K53/$E53</f>
        <v>0.6588319088319089</v>
      </c>
      <c r="L54" s="26">
        <f t="shared" ref="L54" si="49">$E54*L53/$E53</f>
        <v>0.6588319088319089</v>
      </c>
      <c r="M54" s="26">
        <f t="shared" ref="M54" si="50">$E54*M53/$E53</f>
        <v>0.6588319088319089</v>
      </c>
      <c r="N54" s="26">
        <f t="shared" ref="N54" si="51">$E54*N53/$E53</f>
        <v>0.69325735992402659</v>
      </c>
      <c r="O54" s="26">
        <f t="shared" ref="O54" si="52">$E54*O53/$E53</f>
        <v>0.69325735992402659</v>
      </c>
      <c r="P54" s="26">
        <f t="shared" ref="P54" si="53">$E54*P53/$E53</f>
        <v>0.69325735992402659</v>
      </c>
      <c r="Q54" s="26">
        <f t="shared" ref="Q54" si="54">$E54*Q53/$E53</f>
        <v>0.69325735992402659</v>
      </c>
    </row>
    <row r="55" spans="1:17" x14ac:dyDescent="0.25">
      <c r="A55" s="7" t="s">
        <v>188</v>
      </c>
      <c r="B55" s="7"/>
      <c r="C55" s="7"/>
      <c r="D55" s="7"/>
      <c r="E55" s="26">
        <f>E53*1.9</f>
        <v>8.8919999999999995</v>
      </c>
      <c r="F55" s="26">
        <f t="shared" ref="F55:Q55" si="55">F53*1.9</f>
        <v>8.8919999999999995</v>
      </c>
      <c r="G55" s="26">
        <f t="shared" si="55"/>
        <v>8.8919999999999995</v>
      </c>
      <c r="H55" s="26">
        <f t="shared" si="55"/>
        <v>9.7659999999999982</v>
      </c>
      <c r="I55" s="26">
        <f t="shared" si="55"/>
        <v>9.7659999999999982</v>
      </c>
      <c r="J55" s="26">
        <f t="shared" si="55"/>
        <v>9.7659999999999982</v>
      </c>
      <c r="K55" s="26">
        <f t="shared" si="55"/>
        <v>10.545</v>
      </c>
      <c r="L55" s="26">
        <f t="shared" si="55"/>
        <v>10.545</v>
      </c>
      <c r="M55" s="26">
        <f t="shared" si="55"/>
        <v>10.545</v>
      </c>
      <c r="N55" s="26">
        <f t="shared" si="55"/>
        <v>11.096</v>
      </c>
      <c r="O55" s="26">
        <f t="shared" si="55"/>
        <v>11.096</v>
      </c>
      <c r="P55" s="26">
        <f t="shared" si="55"/>
        <v>11.096</v>
      </c>
      <c r="Q55" s="26">
        <f t="shared" si="55"/>
        <v>11.096</v>
      </c>
    </row>
    <row r="56" spans="1:17" x14ac:dyDescent="0.25">
      <c r="A56" s="7" t="s">
        <v>69</v>
      </c>
      <c r="B56" s="7"/>
      <c r="C56" s="7"/>
      <c r="D56" s="7"/>
      <c r="E56" s="26">
        <v>8.5</v>
      </c>
      <c r="F56" s="26">
        <v>8.5</v>
      </c>
      <c r="G56" s="26">
        <v>8.5</v>
      </c>
      <c r="H56" s="26">
        <v>9.58</v>
      </c>
      <c r="I56" s="26">
        <v>9.58</v>
      </c>
      <c r="J56" s="26">
        <v>9.58</v>
      </c>
      <c r="K56" s="26">
        <v>10.38</v>
      </c>
      <c r="L56" s="26">
        <v>10.38</v>
      </c>
      <c r="M56" s="26">
        <v>10.38</v>
      </c>
      <c r="N56" s="26">
        <v>10.82</v>
      </c>
      <c r="O56" s="26">
        <v>10.82</v>
      </c>
      <c r="P56" s="26">
        <v>10.82</v>
      </c>
      <c r="Q56" s="26">
        <v>10.82</v>
      </c>
    </row>
    <row r="57" spans="1:17" x14ac:dyDescent="0.25">
      <c r="A57" s="7" t="s">
        <v>203</v>
      </c>
      <c r="B57" s="7"/>
      <c r="C57" s="7"/>
      <c r="D57" s="7"/>
      <c r="E57" s="26">
        <v>7.07</v>
      </c>
      <c r="F57" s="26">
        <v>7.07</v>
      </c>
      <c r="G57" s="26">
        <v>7.07</v>
      </c>
      <c r="H57" s="26">
        <v>7.66</v>
      </c>
      <c r="I57" s="26">
        <v>7.66</v>
      </c>
      <c r="J57" s="26">
        <v>7.66</v>
      </c>
      <c r="K57" s="26">
        <v>8.1</v>
      </c>
      <c r="L57" s="26">
        <v>8.1</v>
      </c>
      <c r="M57" s="26">
        <v>8.1</v>
      </c>
      <c r="N57" s="26">
        <v>8.3800000000000008</v>
      </c>
      <c r="O57" s="26">
        <v>8.3800000000000008</v>
      </c>
      <c r="P57" s="26">
        <v>8.3800000000000008</v>
      </c>
      <c r="Q57" s="26">
        <v>8.3800000000000008</v>
      </c>
    </row>
    <row r="58" spans="1:17" x14ac:dyDescent="0.25">
      <c r="A58" s="7" t="s">
        <v>70</v>
      </c>
      <c r="B58" s="7"/>
      <c r="C58" s="7"/>
      <c r="D58" s="7"/>
      <c r="E58" s="26">
        <f>1/0.96</f>
        <v>1.0416666666666667</v>
      </c>
      <c r="F58" s="26">
        <f>$E58*F57/$E57</f>
        <v>1.0416666666666667</v>
      </c>
      <c r="G58" s="26">
        <f t="shared" ref="G58:Q58" si="56">$E58*G57/$E57</f>
        <v>1.0416666666666667</v>
      </c>
      <c r="H58" s="26">
        <f t="shared" si="56"/>
        <v>1.1285950023573785</v>
      </c>
      <c r="I58" s="26">
        <f t="shared" si="56"/>
        <v>1.1285950023573785</v>
      </c>
      <c r="J58" s="26">
        <f t="shared" si="56"/>
        <v>1.1285950023573785</v>
      </c>
      <c r="K58" s="26">
        <f t="shared" si="56"/>
        <v>1.1934229137199435</v>
      </c>
      <c r="L58" s="26">
        <f t="shared" si="56"/>
        <v>1.1934229137199435</v>
      </c>
      <c r="M58" s="26">
        <f t="shared" si="56"/>
        <v>1.1934229137199435</v>
      </c>
      <c r="N58" s="26">
        <f t="shared" si="56"/>
        <v>1.2346770391324848</v>
      </c>
      <c r="O58" s="26">
        <f t="shared" si="56"/>
        <v>1.2346770391324848</v>
      </c>
      <c r="P58" s="26">
        <f t="shared" si="56"/>
        <v>1.2346770391324848</v>
      </c>
      <c r="Q58" s="26">
        <f t="shared" si="56"/>
        <v>1.2346770391324848</v>
      </c>
    </row>
    <row r="59" spans="1:17" x14ac:dyDescent="0.25">
      <c r="A59" s="7" t="s">
        <v>71</v>
      </c>
      <c r="B59" s="7"/>
      <c r="C59" s="7"/>
      <c r="D59" s="7"/>
      <c r="E59" s="26">
        <f t="shared" ref="E59:Q59" si="57">E56*1.9</f>
        <v>16.149999999999999</v>
      </c>
      <c r="F59" s="26">
        <f t="shared" si="57"/>
        <v>16.149999999999999</v>
      </c>
      <c r="G59" s="26">
        <f t="shared" si="57"/>
        <v>16.149999999999999</v>
      </c>
      <c r="H59" s="26">
        <f t="shared" si="57"/>
        <v>18.201999999999998</v>
      </c>
      <c r="I59" s="26">
        <f t="shared" si="57"/>
        <v>18.201999999999998</v>
      </c>
      <c r="J59" s="26">
        <f t="shared" si="57"/>
        <v>18.201999999999998</v>
      </c>
      <c r="K59" s="26">
        <f t="shared" si="57"/>
        <v>19.722000000000001</v>
      </c>
      <c r="L59" s="26">
        <f t="shared" si="57"/>
        <v>19.722000000000001</v>
      </c>
      <c r="M59" s="26">
        <f t="shared" si="57"/>
        <v>19.722000000000001</v>
      </c>
      <c r="N59" s="26">
        <f t="shared" si="57"/>
        <v>20.558</v>
      </c>
      <c r="O59" s="26">
        <f t="shared" si="57"/>
        <v>20.558</v>
      </c>
      <c r="P59" s="26">
        <f t="shared" si="57"/>
        <v>20.558</v>
      </c>
      <c r="Q59" s="26">
        <f t="shared" si="57"/>
        <v>20.558</v>
      </c>
    </row>
    <row r="60" spans="1:17" x14ac:dyDescent="0.25">
      <c r="A60" s="7" t="s">
        <v>110</v>
      </c>
      <c r="B60" s="7"/>
      <c r="C60" s="7"/>
      <c r="D60" s="7"/>
      <c r="E60" s="26">
        <v>23.215268217601352</v>
      </c>
      <c r="F60" s="26">
        <v>23.215268217601352</v>
      </c>
      <c r="G60" s="26">
        <v>23.215268217601352</v>
      </c>
      <c r="H60" s="26">
        <v>23.80057026166347</v>
      </c>
      <c r="I60" s="26">
        <v>24.43912214673249</v>
      </c>
      <c r="J60" s="26">
        <v>25.014258127132468</v>
      </c>
      <c r="K60" s="26">
        <v>25.695117156886678</v>
      </c>
      <c r="L60" s="26">
        <v>26.333633975654553</v>
      </c>
      <c r="M60" s="26">
        <v>27.023411732754671</v>
      </c>
      <c r="N60" s="26">
        <v>27.722871091421712</v>
      </c>
      <c r="O60" s="26">
        <f>N60</f>
        <v>27.722871091421712</v>
      </c>
      <c r="P60" s="26">
        <f>O60</f>
        <v>27.722871091421712</v>
      </c>
      <c r="Q60" s="26">
        <f>P60</f>
        <v>27.722871091421712</v>
      </c>
    </row>
    <row r="61" spans="1:17" x14ac:dyDescent="0.25">
      <c r="A61" s="7" t="s">
        <v>201</v>
      </c>
      <c r="B61" s="7"/>
      <c r="C61" s="7"/>
      <c r="D61" s="7"/>
      <c r="E61" s="26">
        <v>19.134965609683057</v>
      </c>
      <c r="F61" s="26">
        <v>19.134965609683057</v>
      </c>
      <c r="G61" s="26">
        <v>19.134965609683057</v>
      </c>
      <c r="H61" s="26">
        <v>19.605171452125642</v>
      </c>
      <c r="I61" s="26">
        <v>5.8731804152925875</v>
      </c>
      <c r="J61" s="26">
        <v>20.655033063544177</v>
      </c>
      <c r="K61" s="26">
        <v>21.189897504465772</v>
      </c>
      <c r="L61" s="26">
        <v>21.699929041232039</v>
      </c>
      <c r="M61" s="26">
        <v>22.291052037346429</v>
      </c>
      <c r="N61" s="26">
        <v>22.834595325301645</v>
      </c>
      <c r="O61" s="26">
        <v>22.834595325301645</v>
      </c>
      <c r="P61" s="26">
        <v>22.834595325301645</v>
      </c>
      <c r="Q61" s="26">
        <v>22.834595325301645</v>
      </c>
    </row>
    <row r="62" spans="1:17" x14ac:dyDescent="0.25">
      <c r="A62" s="7" t="s">
        <v>111</v>
      </c>
      <c r="B62" s="7"/>
      <c r="C62" s="7"/>
      <c r="D62" s="7"/>
      <c r="E62" s="26">
        <f>1/0.56</f>
        <v>1.7857142857142856</v>
      </c>
      <c r="F62" s="26">
        <f>$E62*F61/$E61</f>
        <v>1.7857142857142854</v>
      </c>
      <c r="G62" s="26">
        <f t="shared" ref="G62" si="58">$E62*G61/$E61</f>
        <v>1.7857142857142854</v>
      </c>
      <c r="H62" s="26">
        <f t="shared" ref="H62" si="59">$E62*H61/$E61</f>
        <v>1.8295948605323111</v>
      </c>
      <c r="I62" s="26">
        <f t="shared" ref="I62" si="60">$E62*I61/$E61</f>
        <v>0.54809725735059989</v>
      </c>
      <c r="J62" s="26">
        <f t="shared" ref="J62" si="61">$E62*J61/$E61</f>
        <v>1.9275701020756981</v>
      </c>
      <c r="K62" s="26">
        <f t="shared" ref="K62" si="62">$E62*K61/$E61</f>
        <v>1.9774847500848354</v>
      </c>
      <c r="L62" s="26">
        <f t="shared" ref="L62" si="63">$E62*L61/$E61</f>
        <v>2.025081940482055</v>
      </c>
      <c r="M62" s="26">
        <f t="shared" ref="M62" si="64">$E62*M61/$E61</f>
        <v>2.0802467523927453</v>
      </c>
      <c r="N62" s="26">
        <f t="shared" ref="N62" si="65">$E62*N61/$E61</f>
        <v>2.1309713282296925</v>
      </c>
      <c r="O62" s="26">
        <f t="shared" ref="O62" si="66">$E62*O61/$E61</f>
        <v>2.1309713282296925</v>
      </c>
      <c r="P62" s="26">
        <f t="shared" ref="P62" si="67">$E62*P61/$E61</f>
        <v>2.1309713282296925</v>
      </c>
      <c r="Q62" s="26">
        <f t="shared" ref="Q62" si="68">$E62*Q61/$E61</f>
        <v>2.1309713282296925</v>
      </c>
    </row>
    <row r="63" spans="1:17" x14ac:dyDescent="0.25">
      <c r="A63" s="7" t="s">
        <v>112</v>
      </c>
      <c r="B63" s="7"/>
      <c r="C63" s="7"/>
      <c r="D63" s="7"/>
      <c r="E63" s="26">
        <f t="shared" ref="E63:Q63" si="69">E60*2.5</f>
        <v>58.038170544003378</v>
      </c>
      <c r="F63" s="26">
        <f t="shared" si="69"/>
        <v>58.038170544003378</v>
      </c>
      <c r="G63" s="26">
        <f t="shared" si="69"/>
        <v>58.038170544003378</v>
      </c>
      <c r="H63" s="26">
        <f t="shared" si="69"/>
        <v>59.501425654158673</v>
      </c>
      <c r="I63" s="26">
        <f t="shared" si="69"/>
        <v>61.097805366831224</v>
      </c>
      <c r="J63" s="26">
        <f t="shared" si="69"/>
        <v>62.535645317831168</v>
      </c>
      <c r="K63" s="26">
        <f t="shared" si="69"/>
        <v>64.237792892216689</v>
      </c>
      <c r="L63" s="26">
        <f t="shared" si="69"/>
        <v>65.834084939136389</v>
      </c>
      <c r="M63" s="26">
        <f t="shared" si="69"/>
        <v>67.558529331886675</v>
      </c>
      <c r="N63" s="26">
        <f t="shared" si="69"/>
        <v>69.307177728554279</v>
      </c>
      <c r="O63" s="26">
        <f t="shared" si="69"/>
        <v>69.307177728554279</v>
      </c>
      <c r="P63" s="26">
        <f t="shared" si="69"/>
        <v>69.307177728554279</v>
      </c>
      <c r="Q63" s="26">
        <f t="shared" si="69"/>
        <v>69.307177728554279</v>
      </c>
    </row>
    <row r="64" spans="1:17" x14ac:dyDescent="0.25">
      <c r="A64" s="7" t="s">
        <v>192</v>
      </c>
      <c r="B64" s="7"/>
      <c r="C64" s="7"/>
      <c r="D64" s="7"/>
      <c r="E64" s="26">
        <v>22.552104381964089</v>
      </c>
      <c r="F64" s="26">
        <v>22.552104381964089</v>
      </c>
      <c r="G64" s="26">
        <v>22.552104381964089</v>
      </c>
      <c r="H64" s="26">
        <v>23.120275371727789</v>
      </c>
      <c r="I64" s="26">
        <v>23.741239482630906</v>
      </c>
      <c r="J64" s="26">
        <v>24.299730370191813</v>
      </c>
      <c r="K64" s="26">
        <v>24.960661996693212</v>
      </c>
      <c r="L64" s="26">
        <v>25.580812344276804</v>
      </c>
      <c r="M64" s="26">
        <v>26.252148738374235</v>
      </c>
      <c r="N64" s="26">
        <v>26.931761380285089</v>
      </c>
      <c r="O64" s="26">
        <v>26.931761380285089</v>
      </c>
      <c r="P64" s="26">
        <v>26.931761380285089</v>
      </c>
      <c r="Q64" s="26">
        <v>26.931761380285089</v>
      </c>
    </row>
    <row r="65" spans="1:37" x14ac:dyDescent="0.25">
      <c r="A65" s="7" t="s">
        <v>200</v>
      </c>
      <c r="B65" s="7"/>
      <c r="C65" s="7"/>
      <c r="D65" s="7"/>
      <c r="E65" s="26">
        <v>18.589032916715926</v>
      </c>
      <c r="F65" s="26">
        <v>18.589032916715926</v>
      </c>
      <c r="G65" s="26">
        <v>18.589032916715926</v>
      </c>
      <c r="H65" s="26">
        <v>19.046414588639347</v>
      </c>
      <c r="I65" s="26">
        <v>5.4099439097015445</v>
      </c>
      <c r="J65" s="26">
        <v>20.065187782066378</v>
      </c>
      <c r="K65" s="26">
        <v>20.584399330760007</v>
      </c>
      <c r="L65" s="26">
        <v>21.080786633769399</v>
      </c>
      <c r="M65" s="26">
        <v>21.654639679788513</v>
      </c>
      <c r="N65" s="26">
        <v>22.182628694738636</v>
      </c>
      <c r="O65" s="26">
        <v>22.182628694738636</v>
      </c>
      <c r="P65" s="26">
        <v>22.182628694738636</v>
      </c>
      <c r="Q65" s="26">
        <v>22.182628694738636</v>
      </c>
    </row>
    <row r="66" spans="1:37" x14ac:dyDescent="0.25">
      <c r="A66" s="7" t="s">
        <v>194</v>
      </c>
      <c r="B66" s="7"/>
      <c r="C66" s="7"/>
      <c r="D66" s="7"/>
      <c r="E66" s="26">
        <f>1/0.6</f>
        <v>1.6666666666666667</v>
      </c>
      <c r="F66" s="26">
        <f>$E66*F65/$E65</f>
        <v>1.6666666666666667</v>
      </c>
      <c r="G66" s="26">
        <f t="shared" ref="G66" si="70">$E66*G65/$E65</f>
        <v>1.6666666666666667</v>
      </c>
      <c r="H66" s="26">
        <f t="shared" ref="H66" si="71">$E66*H65/$E65</f>
        <v>1.7076748670369801</v>
      </c>
      <c r="I66" s="26">
        <f t="shared" ref="I66" si="72">$E66*I65/$E65</f>
        <v>0.48504799702236695</v>
      </c>
      <c r="J66" s="26">
        <f t="shared" ref="J66" si="73">$E66*J65/$E65</f>
        <v>1.7990166452771768</v>
      </c>
      <c r="K66" s="26">
        <f t="shared" ref="K66" si="74">$E66*K65/$E65</f>
        <v>1.8455684258368796</v>
      </c>
      <c r="L66" s="26">
        <f t="shared" ref="L66" si="75">$E66*L65/$E65</f>
        <v>1.8900738164824773</v>
      </c>
      <c r="M66" s="26">
        <f t="shared" ref="M66" si="76">$E66*M65/$E65</f>
        <v>1.9415246771942867</v>
      </c>
      <c r="N66" s="26">
        <f t="shared" ref="N66" si="77">$E66*N65/$E65</f>
        <v>1.9888634330900936</v>
      </c>
      <c r="O66" s="26">
        <f t="shared" ref="O66" si="78">$E66*O65/$E65</f>
        <v>1.9888634330900936</v>
      </c>
      <c r="P66" s="26">
        <f t="shared" ref="P66" si="79">$E66*P65/$E65</f>
        <v>1.9888634330900936</v>
      </c>
      <c r="Q66" s="26">
        <f t="shared" ref="Q66" si="80">$E66*Q65/$E65</f>
        <v>1.9888634330900936</v>
      </c>
    </row>
    <row r="67" spans="1:37" x14ac:dyDescent="0.25">
      <c r="A67" s="7" t="s">
        <v>193</v>
      </c>
      <c r="B67" s="7"/>
      <c r="C67" s="7"/>
      <c r="D67" s="7"/>
      <c r="E67" s="26">
        <f t="shared" ref="E67:Q67" si="81">E64*2.5</f>
        <v>56.38026095491022</v>
      </c>
      <c r="F67" s="26">
        <f t="shared" si="81"/>
        <v>56.38026095491022</v>
      </c>
      <c r="G67" s="26">
        <f t="shared" si="81"/>
        <v>56.38026095491022</v>
      </c>
      <c r="H67" s="26">
        <f t="shared" si="81"/>
        <v>57.800688429319472</v>
      </c>
      <c r="I67" s="26">
        <f t="shared" si="81"/>
        <v>59.353098706577263</v>
      </c>
      <c r="J67" s="26">
        <f t="shared" si="81"/>
        <v>60.749325925479532</v>
      </c>
      <c r="K67" s="26">
        <f t="shared" si="81"/>
        <v>62.401654991733025</v>
      </c>
      <c r="L67" s="26">
        <f t="shared" si="81"/>
        <v>63.952030860692012</v>
      </c>
      <c r="M67" s="26">
        <f t="shared" si="81"/>
        <v>65.630371845935585</v>
      </c>
      <c r="N67" s="26">
        <f t="shared" si="81"/>
        <v>67.329403450712718</v>
      </c>
      <c r="O67" s="26">
        <f t="shared" si="81"/>
        <v>67.329403450712718</v>
      </c>
      <c r="P67" s="26">
        <f t="shared" si="81"/>
        <v>67.329403450712718</v>
      </c>
      <c r="Q67" s="26">
        <f t="shared" si="81"/>
        <v>67.329403450712718</v>
      </c>
    </row>
    <row r="68" spans="1:37" x14ac:dyDescent="0.25">
      <c r="A68" s="7" t="s">
        <v>158</v>
      </c>
      <c r="B68" s="7"/>
      <c r="C68" s="7"/>
      <c r="D68" s="7"/>
      <c r="E68" s="26">
        <v>4.0199999999999996</v>
      </c>
      <c r="F68" s="26">
        <v>4.0199999999999996</v>
      </c>
      <c r="G68" s="26">
        <v>4.0199999999999996</v>
      </c>
      <c r="H68" s="26">
        <v>4.3365282215122471</v>
      </c>
      <c r="I68" s="26">
        <v>4.3365282215122471</v>
      </c>
      <c r="J68" s="26">
        <v>4.3365282215122471</v>
      </c>
      <c r="K68" s="26">
        <v>4.3365282215122471</v>
      </c>
      <c r="L68" s="26">
        <v>4.3365282215122471</v>
      </c>
      <c r="M68" s="26">
        <v>4.3365282215122471</v>
      </c>
      <c r="N68" s="26">
        <v>4.55</v>
      </c>
      <c r="O68" s="26">
        <v>4.55</v>
      </c>
      <c r="P68" s="26">
        <v>4.55</v>
      </c>
      <c r="Q68" s="26">
        <v>4.55</v>
      </c>
    </row>
    <row r="69" spans="1:37" x14ac:dyDescent="0.25">
      <c r="A69" s="7" t="s">
        <v>160</v>
      </c>
      <c r="B69" s="7"/>
      <c r="C69" s="7"/>
      <c r="D69" s="7"/>
      <c r="E69" s="26">
        <f>1/2.5</f>
        <v>0.4</v>
      </c>
      <c r="F69" s="26">
        <f>$E69*F68/$E68</f>
        <v>0.4</v>
      </c>
      <c r="G69" s="26">
        <f t="shared" ref="G69" si="82">$E69*G68/$E68</f>
        <v>0.4</v>
      </c>
      <c r="H69" s="26">
        <f t="shared" ref="H69" si="83">$E69*H68/$E68</f>
        <v>0.43149534542410428</v>
      </c>
      <c r="I69" s="26">
        <f t="shared" ref="I69" si="84">$E69*I68/$E68</f>
        <v>0.43149534542410428</v>
      </c>
      <c r="J69" s="26">
        <f t="shared" ref="J69" si="85">$E69*J68/$E68</f>
        <v>0.43149534542410428</v>
      </c>
      <c r="K69" s="26">
        <f t="shared" ref="K69" si="86">$E69*K68/$E68</f>
        <v>0.43149534542410428</v>
      </c>
      <c r="L69" s="26">
        <f t="shared" ref="L69" si="87">$E69*L68/$E68</f>
        <v>0.43149534542410428</v>
      </c>
      <c r="M69" s="26">
        <f t="shared" ref="M69" si="88">$E69*M68/$E68</f>
        <v>0.43149534542410428</v>
      </c>
      <c r="N69" s="26">
        <f t="shared" ref="N69" si="89">$E69*N68/$E68</f>
        <v>0.45273631840796025</v>
      </c>
      <c r="O69" s="26">
        <f t="shared" ref="O69" si="90">$E69*O68/$E68</f>
        <v>0.45273631840796025</v>
      </c>
      <c r="P69" s="26">
        <f t="shared" ref="P69" si="91">$E69*P68/$E68</f>
        <v>0.45273631840796025</v>
      </c>
      <c r="Q69" s="26">
        <f t="shared" ref="Q69" si="92">$E69*Q68/$E68</f>
        <v>0.45273631840796025</v>
      </c>
    </row>
    <row r="70" spans="1:37" x14ac:dyDescent="0.25">
      <c r="A70" s="7" t="s">
        <v>159</v>
      </c>
      <c r="B70" s="7"/>
      <c r="C70" s="7"/>
      <c r="D70" s="7"/>
      <c r="E70" s="26">
        <f t="shared" ref="E70:Q70" si="93">E68*1.9</f>
        <v>7.637999999999999</v>
      </c>
      <c r="F70" s="26">
        <f t="shared" si="93"/>
        <v>7.637999999999999</v>
      </c>
      <c r="G70" s="26">
        <f t="shared" si="93"/>
        <v>7.637999999999999</v>
      </c>
      <c r="H70" s="26">
        <f t="shared" si="93"/>
        <v>8.2394036208732686</v>
      </c>
      <c r="I70" s="26">
        <f t="shared" si="93"/>
        <v>8.2394036208732686</v>
      </c>
      <c r="J70" s="26">
        <f t="shared" si="93"/>
        <v>8.2394036208732686</v>
      </c>
      <c r="K70" s="26">
        <f t="shared" si="93"/>
        <v>8.2394036208732686</v>
      </c>
      <c r="L70" s="26">
        <f t="shared" si="93"/>
        <v>8.2394036208732686</v>
      </c>
      <c r="M70" s="26">
        <f t="shared" si="93"/>
        <v>8.2394036208732686</v>
      </c>
      <c r="N70" s="26">
        <f t="shared" si="93"/>
        <v>8.6449999999999996</v>
      </c>
      <c r="O70" s="26">
        <f t="shared" si="93"/>
        <v>8.6449999999999996</v>
      </c>
      <c r="P70" s="26">
        <f t="shared" si="93"/>
        <v>8.6449999999999996</v>
      </c>
      <c r="Q70" s="26">
        <f t="shared" si="93"/>
        <v>8.6449999999999996</v>
      </c>
    </row>
    <row r="71" spans="1:37" x14ac:dyDescent="0.25">
      <c r="A71" s="7" t="s">
        <v>154</v>
      </c>
      <c r="B71" s="7"/>
      <c r="C71" s="7"/>
      <c r="D71" s="7"/>
      <c r="E71" s="26">
        <v>10.69</v>
      </c>
      <c r="F71" s="26">
        <v>10.69</v>
      </c>
      <c r="G71" s="26">
        <v>10.69</v>
      </c>
      <c r="H71" s="26">
        <v>11.49</v>
      </c>
      <c r="I71" s="26">
        <v>11.49</v>
      </c>
      <c r="J71" s="26">
        <v>11.49</v>
      </c>
      <c r="K71" s="26">
        <v>12.07</v>
      </c>
      <c r="L71" s="26">
        <v>12.07</v>
      </c>
      <c r="M71" s="26">
        <v>12.07</v>
      </c>
      <c r="N71" s="26">
        <v>12.27</v>
      </c>
      <c r="O71" s="26">
        <v>12.27</v>
      </c>
      <c r="P71" s="26">
        <v>12.27</v>
      </c>
      <c r="Q71" s="26">
        <v>12.27</v>
      </c>
    </row>
    <row r="72" spans="1:37" x14ac:dyDescent="0.25">
      <c r="A72" s="7" t="s">
        <v>155</v>
      </c>
      <c r="B72" s="7"/>
      <c r="C72" s="7"/>
      <c r="D72" s="7"/>
      <c r="E72" s="26">
        <f>1/1.4</f>
        <v>0.7142857142857143</v>
      </c>
      <c r="F72" s="26">
        <f>$E72*F71/$E71</f>
        <v>0.7142857142857143</v>
      </c>
      <c r="G72" s="26">
        <f t="shared" ref="G72" si="94">$E72*G71/$E71</f>
        <v>0.7142857142857143</v>
      </c>
      <c r="H72" s="26">
        <f t="shared" ref="H72" si="95">$E72*H71/$E71</f>
        <v>0.7677402111452627</v>
      </c>
      <c r="I72" s="26">
        <f t="shared" ref="I72" si="96">$E72*I71/$E71</f>
        <v>0.7677402111452627</v>
      </c>
      <c r="J72" s="26">
        <f t="shared" ref="J72" si="97">$E72*J71/$E71</f>
        <v>0.7677402111452627</v>
      </c>
      <c r="K72" s="26">
        <f t="shared" ref="K72" si="98">$E72*K71/$E71</f>
        <v>0.80649472136843525</v>
      </c>
      <c r="L72" s="26">
        <f t="shared" ref="L72" si="99">$E72*L71/$E71</f>
        <v>0.80649472136843525</v>
      </c>
      <c r="M72" s="26">
        <f t="shared" ref="M72" si="100">$E72*M71/$E71</f>
        <v>0.80649472136843525</v>
      </c>
      <c r="N72" s="26">
        <f t="shared" ref="N72" si="101">$E72*N71/$E71</f>
        <v>0.81985834558332227</v>
      </c>
      <c r="O72" s="26">
        <f t="shared" ref="O72" si="102">$E72*O71/$E71</f>
        <v>0.81985834558332227</v>
      </c>
      <c r="P72" s="26">
        <f t="shared" ref="P72" si="103">$E72*P71/$E71</f>
        <v>0.81985834558332227</v>
      </c>
      <c r="Q72" s="26">
        <f t="shared" ref="Q72" si="104">$E72*Q71/$E71</f>
        <v>0.81985834558332227</v>
      </c>
    </row>
    <row r="73" spans="1:37" x14ac:dyDescent="0.25">
      <c r="A73" s="7" t="s">
        <v>156</v>
      </c>
      <c r="B73" s="7"/>
      <c r="C73" s="7"/>
      <c r="D73" s="7"/>
      <c r="E73" s="26">
        <f t="shared" ref="E73:Q73" si="105">E71*1.9</f>
        <v>20.310999999999996</v>
      </c>
      <c r="F73" s="26">
        <f t="shared" si="105"/>
        <v>20.310999999999996</v>
      </c>
      <c r="G73" s="26">
        <f t="shared" si="105"/>
        <v>20.310999999999996</v>
      </c>
      <c r="H73" s="26">
        <f t="shared" si="105"/>
        <v>21.831</v>
      </c>
      <c r="I73" s="26">
        <f t="shared" si="105"/>
        <v>21.831</v>
      </c>
      <c r="J73" s="26">
        <f t="shared" si="105"/>
        <v>21.831</v>
      </c>
      <c r="K73" s="26">
        <f t="shared" si="105"/>
        <v>22.933</v>
      </c>
      <c r="L73" s="26">
        <f t="shared" si="105"/>
        <v>22.933</v>
      </c>
      <c r="M73" s="26">
        <f t="shared" si="105"/>
        <v>22.933</v>
      </c>
      <c r="N73" s="26">
        <f t="shared" si="105"/>
        <v>23.312999999999999</v>
      </c>
      <c r="O73" s="26">
        <f t="shared" si="105"/>
        <v>23.312999999999999</v>
      </c>
      <c r="P73" s="26">
        <f t="shared" si="105"/>
        <v>23.312999999999999</v>
      </c>
      <c r="Q73" s="26">
        <f t="shared" si="105"/>
        <v>23.312999999999999</v>
      </c>
    </row>
    <row r="74" spans="1:37" x14ac:dyDescent="0.25">
      <c r="A74" s="7" t="s">
        <v>221</v>
      </c>
      <c r="B74" s="7"/>
      <c r="C74" s="7"/>
      <c r="D74" s="7"/>
      <c r="E74" s="26">
        <v>10</v>
      </c>
      <c r="F74" s="26">
        <v>10</v>
      </c>
      <c r="G74" s="26">
        <v>10</v>
      </c>
      <c r="H74" s="26">
        <v>10</v>
      </c>
      <c r="I74" s="26">
        <v>10</v>
      </c>
      <c r="J74" s="26">
        <v>10</v>
      </c>
      <c r="K74" s="26">
        <v>10</v>
      </c>
      <c r="L74" s="26">
        <v>10</v>
      </c>
      <c r="M74" s="26">
        <v>10</v>
      </c>
      <c r="N74" s="26">
        <v>10</v>
      </c>
      <c r="O74" s="26">
        <v>10</v>
      </c>
      <c r="P74" s="26">
        <v>10</v>
      </c>
      <c r="Q74" s="26">
        <v>10</v>
      </c>
    </row>
    <row r="75" spans="1:37" x14ac:dyDescent="0.25">
      <c r="A75" s="7" t="s">
        <v>222</v>
      </c>
      <c r="B75" s="7"/>
      <c r="C75" s="7"/>
      <c r="D75" s="7"/>
      <c r="E75" s="26">
        <v>10</v>
      </c>
      <c r="F75" s="26">
        <v>10</v>
      </c>
      <c r="G75" s="26">
        <v>10</v>
      </c>
      <c r="H75" s="26">
        <v>10</v>
      </c>
      <c r="I75" s="26">
        <v>10</v>
      </c>
      <c r="J75" s="26">
        <v>10</v>
      </c>
      <c r="K75" s="26">
        <v>10</v>
      </c>
      <c r="L75" s="26">
        <v>10</v>
      </c>
      <c r="M75" s="26">
        <v>10</v>
      </c>
      <c r="N75" s="26">
        <v>10</v>
      </c>
      <c r="O75" s="26">
        <v>10</v>
      </c>
      <c r="P75" s="26">
        <v>10</v>
      </c>
      <c r="Q75" s="26">
        <v>10</v>
      </c>
    </row>
    <row r="76" spans="1:37" x14ac:dyDescent="0.25">
      <c r="A76" s="7" t="s">
        <v>223</v>
      </c>
      <c r="B76" s="7"/>
      <c r="C76" s="7"/>
      <c r="D76" s="7"/>
      <c r="E76" s="26">
        <v>1</v>
      </c>
      <c r="F76" s="26">
        <v>1</v>
      </c>
      <c r="G76" s="26">
        <v>1</v>
      </c>
      <c r="H76" s="26">
        <v>1</v>
      </c>
      <c r="I76" s="26">
        <v>1</v>
      </c>
      <c r="J76" s="26">
        <v>1</v>
      </c>
      <c r="K76" s="26">
        <v>1</v>
      </c>
      <c r="L76" s="26">
        <v>1</v>
      </c>
      <c r="M76" s="26">
        <v>1</v>
      </c>
      <c r="N76" s="26">
        <v>1</v>
      </c>
      <c r="O76" s="26">
        <v>1</v>
      </c>
      <c r="P76" s="26">
        <v>1</v>
      </c>
      <c r="Q76" s="26">
        <v>1</v>
      </c>
    </row>
    <row r="77" spans="1:37" x14ac:dyDescent="0.25">
      <c r="A77" s="7" t="s">
        <v>224</v>
      </c>
      <c r="B77" s="7"/>
      <c r="C77" s="7"/>
      <c r="D77" s="7"/>
      <c r="E77" s="26">
        <v>20</v>
      </c>
      <c r="F77" s="26">
        <v>20</v>
      </c>
      <c r="G77" s="26">
        <v>20</v>
      </c>
      <c r="H77" s="26">
        <v>20</v>
      </c>
      <c r="I77" s="26">
        <v>20</v>
      </c>
      <c r="J77" s="26">
        <v>20</v>
      </c>
      <c r="K77" s="26">
        <v>20</v>
      </c>
      <c r="L77" s="26">
        <v>20</v>
      </c>
      <c r="M77" s="26">
        <v>20</v>
      </c>
      <c r="N77" s="26">
        <v>20</v>
      </c>
      <c r="O77" s="26">
        <v>20</v>
      </c>
      <c r="P77" s="26">
        <v>20</v>
      </c>
      <c r="Q77" s="26">
        <v>20</v>
      </c>
    </row>
    <row r="79" spans="1:37" ht="15.75" thickBot="1" x14ac:dyDescent="0.3">
      <c r="A79" s="21" t="s">
        <v>133</v>
      </c>
      <c r="B79" s="21"/>
      <c r="C79" s="21">
        <v>2016</v>
      </c>
      <c r="D79" s="21">
        <v>2017</v>
      </c>
      <c r="E79" s="21">
        <v>2018</v>
      </c>
      <c r="F79" s="21">
        <v>2019</v>
      </c>
      <c r="G79" s="21">
        <v>2020</v>
      </c>
      <c r="H79" s="21">
        <v>2021</v>
      </c>
      <c r="I79" s="21">
        <v>2022</v>
      </c>
      <c r="J79" s="21">
        <v>2023</v>
      </c>
      <c r="K79" s="21">
        <v>2024</v>
      </c>
      <c r="L79" s="21">
        <v>2025</v>
      </c>
      <c r="M79" s="21">
        <v>2026</v>
      </c>
      <c r="N79" s="21">
        <v>2027</v>
      </c>
      <c r="O79" s="21">
        <v>2028</v>
      </c>
      <c r="P79" s="21">
        <v>2029</v>
      </c>
      <c r="Q79" s="21">
        <v>2030</v>
      </c>
      <c r="R79" s="21">
        <v>2031</v>
      </c>
      <c r="S79" s="21">
        <v>2032</v>
      </c>
      <c r="T79" s="21">
        <v>2033</v>
      </c>
      <c r="U79" s="21">
        <v>2034</v>
      </c>
      <c r="V79" s="21">
        <v>2035</v>
      </c>
      <c r="W79" s="21">
        <v>2036</v>
      </c>
      <c r="X79" s="21">
        <v>2037</v>
      </c>
      <c r="Y79" s="21">
        <v>2038</v>
      </c>
      <c r="Z79" s="21">
        <v>2039</v>
      </c>
      <c r="AA79" s="21">
        <v>2040</v>
      </c>
      <c r="AB79" s="21">
        <v>2041</v>
      </c>
      <c r="AC79" s="21">
        <v>2042</v>
      </c>
      <c r="AD79" s="21">
        <v>2043</v>
      </c>
      <c r="AE79" s="21">
        <v>2044</v>
      </c>
      <c r="AF79" s="21">
        <v>2045</v>
      </c>
      <c r="AG79" s="21">
        <v>2046</v>
      </c>
      <c r="AH79" s="21">
        <v>2047</v>
      </c>
      <c r="AI79" s="21">
        <v>2048</v>
      </c>
      <c r="AJ79" s="21">
        <v>2049</v>
      </c>
      <c r="AK79" s="21">
        <v>2050</v>
      </c>
    </row>
    <row r="80" spans="1:37" x14ac:dyDescent="0.25">
      <c r="A80" s="7" t="s">
        <v>11</v>
      </c>
      <c r="B80" s="7"/>
      <c r="C80" s="19"/>
      <c r="D80" s="19"/>
      <c r="E80" s="19">
        <v>2.745854027</v>
      </c>
      <c r="F80" s="19">
        <v>2.7969018910000001</v>
      </c>
      <c r="G80" s="19">
        <v>3.1472181684999998</v>
      </c>
      <c r="H80" s="19">
        <v>3.3007307060000004</v>
      </c>
      <c r="I80" s="19">
        <v>3.3529164865000003</v>
      </c>
      <c r="J80" s="19">
        <v>3.4087054750000001</v>
      </c>
      <c r="K80" s="19">
        <v>3.8051619549999995</v>
      </c>
      <c r="L80" s="19">
        <v>3.8479843675000001</v>
      </c>
      <c r="M80" s="19">
        <v>3.8671146255000002</v>
      </c>
      <c r="N80" s="19">
        <v>3.9071382840000002</v>
      </c>
      <c r="O80" s="19">
        <v>3.9501175210000001</v>
      </c>
      <c r="P80" s="19">
        <v>4.0454493344999998</v>
      </c>
      <c r="Q80" s="19">
        <v>4.0737971434999993</v>
      </c>
      <c r="R80" s="19">
        <v>4.1171739455000003</v>
      </c>
      <c r="S80" s="19">
        <v>4.1322916459999997</v>
      </c>
      <c r="T80" s="19">
        <v>4.1718380969999993</v>
      </c>
      <c r="U80" s="19">
        <v>4.2076014645000006</v>
      </c>
      <c r="V80" s="19">
        <v>4.2252205869999999</v>
      </c>
      <c r="W80" s="19">
        <v>4.2439670070000002</v>
      </c>
      <c r="X80" s="19">
        <v>4.2984574990000004</v>
      </c>
      <c r="Y80" s="19">
        <v>4.3205952649999997</v>
      </c>
      <c r="Z80" s="19">
        <v>4.3408963324999998</v>
      </c>
      <c r="AA80" s="19">
        <v>4.3601999909999991</v>
      </c>
      <c r="AB80" s="19">
        <v>4.3818482470000006</v>
      </c>
      <c r="AC80" s="19">
        <v>4.3852840114999996</v>
      </c>
      <c r="AD80" s="19">
        <v>4.3959896469999995</v>
      </c>
      <c r="AE80" s="19">
        <v>4.4035265470000002</v>
      </c>
      <c r="AF80" s="19">
        <v>4.4141742959999997</v>
      </c>
      <c r="AG80" s="19">
        <v>4.4079623105000003</v>
      </c>
      <c r="AH80" s="19">
        <v>4.4182859209999998</v>
      </c>
      <c r="AI80" s="19">
        <v>4.4255507415000004</v>
      </c>
      <c r="AJ80" s="19">
        <v>4.4041530680000003</v>
      </c>
      <c r="AK80" s="19">
        <v>4.4141051430000005</v>
      </c>
    </row>
    <row r="81" spans="1:37" x14ac:dyDescent="0.25">
      <c r="A81" s="7" t="s">
        <v>12</v>
      </c>
      <c r="B81" s="7"/>
      <c r="C81" s="19"/>
      <c r="D81" s="19"/>
      <c r="E81" s="19">
        <v>2.622720594</v>
      </c>
      <c r="F81" s="19">
        <v>2.6906698379999998</v>
      </c>
      <c r="G81" s="19">
        <v>3.023536386</v>
      </c>
      <c r="H81" s="19">
        <v>3.1911085200000002</v>
      </c>
      <c r="I81" s="19">
        <v>3.2627335799999999</v>
      </c>
      <c r="J81" s="19">
        <v>3.31911171</v>
      </c>
      <c r="K81" s="19">
        <v>3.6759737760000002</v>
      </c>
      <c r="L81" s="19">
        <v>3.6833227859999997</v>
      </c>
      <c r="M81" s="19">
        <v>3.6946264560000004</v>
      </c>
      <c r="N81" s="19">
        <v>3.7138949640000001</v>
      </c>
      <c r="O81" s="19">
        <v>3.7474130160000003</v>
      </c>
      <c r="P81" s="19">
        <v>3.822502536</v>
      </c>
      <c r="Q81" s="19">
        <v>3.8389629960000002</v>
      </c>
      <c r="R81" s="19">
        <v>3.8815681020000001</v>
      </c>
      <c r="S81" s="19">
        <v>3.8977907579999997</v>
      </c>
      <c r="T81" s="19">
        <v>3.9048487260000004</v>
      </c>
      <c r="U81" s="19">
        <v>3.9263881139999994</v>
      </c>
      <c r="V81" s="19">
        <v>3.9429273480000004</v>
      </c>
      <c r="W81" s="19">
        <v>3.9470403540000003</v>
      </c>
      <c r="X81" s="19">
        <v>3.9943382700000001</v>
      </c>
      <c r="Y81" s="19">
        <v>4.0068057660000003</v>
      </c>
      <c r="Z81" s="19">
        <v>4.0305194760000003</v>
      </c>
      <c r="AA81" s="19">
        <v>4.0581428159999993</v>
      </c>
      <c r="AB81" s="19">
        <v>4.0793277779999997</v>
      </c>
      <c r="AC81" s="19">
        <v>4.0949741639999999</v>
      </c>
      <c r="AD81" s="19">
        <v>4.1046535620000002</v>
      </c>
      <c r="AE81" s="19">
        <v>4.1139594960000005</v>
      </c>
      <c r="AF81" s="19">
        <v>4.1288488079999999</v>
      </c>
      <c r="AG81" s="19">
        <v>4.1177946840000006</v>
      </c>
      <c r="AH81" s="19">
        <v>4.1339455200000002</v>
      </c>
      <c r="AI81" s="19">
        <v>4.1561841840000007</v>
      </c>
      <c r="AJ81" s="19">
        <v>4.1612504580000005</v>
      </c>
      <c r="AK81" s="19">
        <v>4.1737117980000003</v>
      </c>
    </row>
    <row r="82" spans="1:37" x14ac:dyDescent="0.25">
      <c r="A82" s="7" t="s">
        <v>52</v>
      </c>
      <c r="B82" s="7"/>
      <c r="C82" s="19"/>
      <c r="D82" s="19"/>
      <c r="E82" s="19">
        <f xml:space="preserve"> VLOOKUP(Main!$Y$1,Input!$A$93:$D$98,IF(VLOOKUP(Main!$C$1,VehTab,2,FALSE)="Class 2B-3",2,IF(VLOOKUP(Main!$C$1,VehTab,2,FALSE)="Class 4-7",3,4)),FALSE)</f>
        <v>0.13</v>
      </c>
      <c r="F82" s="19">
        <f>E82*F83</f>
        <v>0.13780000000000001</v>
      </c>
      <c r="G82" s="19">
        <f t="shared" ref="G82:Q82" si="106">F82*G83</f>
        <v>0.1379378</v>
      </c>
      <c r="H82" s="19">
        <f t="shared" si="106"/>
        <v>0.14276562299999998</v>
      </c>
      <c r="I82" s="19">
        <f t="shared" si="106"/>
        <v>0.14976113852699996</v>
      </c>
      <c r="J82" s="19">
        <f t="shared" si="106"/>
        <v>0.15724919545334998</v>
      </c>
      <c r="K82" s="19">
        <f t="shared" si="106"/>
        <v>0.16605515039873758</v>
      </c>
      <c r="L82" s="19">
        <f t="shared" si="106"/>
        <v>0.16937625340671233</v>
      </c>
      <c r="M82" s="19">
        <f t="shared" si="106"/>
        <v>0.17479629351572715</v>
      </c>
      <c r="N82" s="19">
        <f t="shared" si="106"/>
        <v>0.18004018232119898</v>
      </c>
      <c r="O82" s="19">
        <f t="shared" si="106"/>
        <v>0.18148050377976857</v>
      </c>
      <c r="P82" s="19">
        <f t="shared" si="106"/>
        <v>0.18238790629866738</v>
      </c>
      <c r="Q82" s="19">
        <f t="shared" si="106"/>
        <v>0.18311745792386205</v>
      </c>
      <c r="R82" s="19">
        <f t="shared" ref="R82:AK82" si="107">Q82*R83</f>
        <v>0.18439928012932907</v>
      </c>
      <c r="S82" s="19">
        <f t="shared" si="107"/>
        <v>0.1858744743703637</v>
      </c>
      <c r="T82" s="19">
        <f t="shared" si="107"/>
        <v>0.18624622331910443</v>
      </c>
      <c r="U82" s="19">
        <f t="shared" si="107"/>
        <v>0.18605997709578531</v>
      </c>
      <c r="V82" s="19">
        <f t="shared" si="107"/>
        <v>0.18587391711868953</v>
      </c>
      <c r="W82" s="19">
        <f t="shared" si="107"/>
        <v>0.18531629536733346</v>
      </c>
      <c r="X82" s="19">
        <f t="shared" si="107"/>
        <v>0.18457503018586413</v>
      </c>
      <c r="Y82" s="19">
        <f t="shared" si="107"/>
        <v>0.18383673006512066</v>
      </c>
      <c r="Z82" s="19">
        <f t="shared" si="107"/>
        <v>0.18273370968472993</v>
      </c>
      <c r="AA82" s="19">
        <f t="shared" si="107"/>
        <v>0.18145457371693682</v>
      </c>
      <c r="AB82" s="19">
        <f t="shared" si="107"/>
        <v>0.18000293712720133</v>
      </c>
      <c r="AC82" s="19">
        <f t="shared" si="107"/>
        <v>0.17874291656731092</v>
      </c>
      <c r="AD82" s="19">
        <f t="shared" si="107"/>
        <v>0.17767045906790704</v>
      </c>
      <c r="AE82" s="19">
        <f t="shared" si="107"/>
        <v>0.17624909539536379</v>
      </c>
      <c r="AF82" s="19">
        <f t="shared" si="107"/>
        <v>0.17483910263220087</v>
      </c>
      <c r="AG82" s="19">
        <f t="shared" si="107"/>
        <v>0.17413974622167205</v>
      </c>
      <c r="AH82" s="19">
        <f t="shared" si="107"/>
        <v>0.17309490774434202</v>
      </c>
      <c r="AI82" s="19">
        <f t="shared" si="107"/>
        <v>0.17188324339013164</v>
      </c>
      <c r="AJ82" s="19">
        <f t="shared" si="107"/>
        <v>0.17033629419962046</v>
      </c>
      <c r="AK82" s="19">
        <f t="shared" si="107"/>
        <v>0.16880326755182387</v>
      </c>
    </row>
    <row r="83" spans="1:37" x14ac:dyDescent="0.25">
      <c r="A83" s="7" t="s">
        <v>53</v>
      </c>
      <c r="B83" s="7"/>
      <c r="C83" s="19"/>
      <c r="D83" s="19"/>
      <c r="E83" s="19"/>
      <c r="F83" s="25">
        <v>1.06</v>
      </c>
      <c r="G83" s="25">
        <v>1.0009999999999999</v>
      </c>
      <c r="H83" s="25">
        <v>1.0349999999999999</v>
      </c>
      <c r="I83" s="25">
        <v>1.0489999999999999</v>
      </c>
      <c r="J83" s="25">
        <v>1.05</v>
      </c>
      <c r="K83" s="25">
        <v>1.056</v>
      </c>
      <c r="L83" s="25">
        <v>1.02</v>
      </c>
      <c r="M83" s="25">
        <v>1.032</v>
      </c>
      <c r="N83" s="25">
        <v>1.03</v>
      </c>
      <c r="O83" s="25">
        <v>1.008</v>
      </c>
      <c r="P83" s="25">
        <v>1.0049999999999999</v>
      </c>
      <c r="Q83" s="25">
        <v>1.004</v>
      </c>
      <c r="R83" s="25">
        <v>1.0069999999999999</v>
      </c>
      <c r="S83" s="25">
        <v>1.008</v>
      </c>
      <c r="T83" s="25">
        <v>1.002</v>
      </c>
      <c r="U83" s="25">
        <v>0.999</v>
      </c>
      <c r="V83" s="25">
        <v>0.999</v>
      </c>
      <c r="W83" s="25">
        <v>0.997</v>
      </c>
      <c r="X83" s="25">
        <v>0.996</v>
      </c>
      <c r="Y83" s="25">
        <v>0.996</v>
      </c>
      <c r="Z83" s="25">
        <v>0.99399999999999999</v>
      </c>
      <c r="AA83" s="25">
        <v>0.99299999999999999</v>
      </c>
      <c r="AB83" s="25">
        <v>0.99199999999999999</v>
      </c>
      <c r="AC83" s="25">
        <v>0.99299999999999999</v>
      </c>
      <c r="AD83" s="25">
        <v>0.99399999999999999</v>
      </c>
      <c r="AE83" s="25">
        <v>0.99199999999999999</v>
      </c>
      <c r="AF83" s="25">
        <v>0.99199999999999999</v>
      </c>
      <c r="AG83" s="25">
        <v>0.996</v>
      </c>
      <c r="AH83" s="25">
        <v>0.99399999999999999</v>
      </c>
      <c r="AI83" s="25">
        <v>0.99299999999999999</v>
      </c>
      <c r="AJ83" s="25">
        <v>0.99099999999999999</v>
      </c>
      <c r="AK83" s="25">
        <v>0.99099999999999999</v>
      </c>
    </row>
    <row r="84" spans="1:37" x14ac:dyDescent="0.25">
      <c r="A84" s="7" t="s">
        <v>63</v>
      </c>
      <c r="B84" s="7"/>
      <c r="C84" s="7"/>
      <c r="D84" s="7"/>
      <c r="E84" s="19">
        <f>VLOOKUP(Main!$AU$1,HydTab,2,FALSE)</f>
        <v>10.210000000000001</v>
      </c>
      <c r="F84" s="19">
        <f t="shared" ref="F84:P84" si="108">$E$84-($E$84-$Q$84)*(F$79-$E$79)/($Q$79-$E$79)</f>
        <v>9.8916666666666675</v>
      </c>
      <c r="G84" s="19">
        <f t="shared" si="108"/>
        <v>9.5733333333333341</v>
      </c>
      <c r="H84" s="19">
        <f t="shared" si="108"/>
        <v>9.2550000000000008</v>
      </c>
      <c r="I84" s="19">
        <f t="shared" si="108"/>
        <v>8.9366666666666674</v>
      </c>
      <c r="J84" s="19">
        <f t="shared" si="108"/>
        <v>8.6183333333333341</v>
      </c>
      <c r="K84" s="19">
        <f t="shared" si="108"/>
        <v>8.3000000000000007</v>
      </c>
      <c r="L84" s="19">
        <f t="shared" si="108"/>
        <v>7.9816666666666674</v>
      </c>
      <c r="M84" s="19">
        <f t="shared" si="108"/>
        <v>7.663333333333334</v>
      </c>
      <c r="N84" s="19">
        <f t="shared" si="108"/>
        <v>7.3450000000000006</v>
      </c>
      <c r="O84" s="19">
        <f t="shared" si="108"/>
        <v>7.0266666666666673</v>
      </c>
      <c r="P84" s="19">
        <f t="shared" si="108"/>
        <v>6.7083333333333339</v>
      </c>
      <c r="Q84" s="19">
        <f>VLOOKUP(Main!$AU$1,HydTab,3,FALSE)</f>
        <v>6.39</v>
      </c>
      <c r="R84" s="19">
        <f t="shared" ref="R84:AJ84" si="109">$Q$84-($Q$84-$AK$84)*(R$79-$Q$79)/($AK$79-$Q$79)</f>
        <v>6.2919999999999998</v>
      </c>
      <c r="S84" s="19">
        <f t="shared" si="109"/>
        <v>6.194</v>
      </c>
      <c r="T84" s="19">
        <f t="shared" si="109"/>
        <v>6.0960000000000001</v>
      </c>
      <c r="U84" s="19">
        <f t="shared" si="109"/>
        <v>5.9979999999999993</v>
      </c>
      <c r="V84" s="19">
        <f t="shared" si="109"/>
        <v>5.8999999999999995</v>
      </c>
      <c r="W84" s="19">
        <f t="shared" si="109"/>
        <v>5.8019999999999996</v>
      </c>
      <c r="X84" s="19">
        <f t="shared" si="109"/>
        <v>5.7039999999999997</v>
      </c>
      <c r="Y84" s="19">
        <f t="shared" si="109"/>
        <v>5.6059999999999999</v>
      </c>
      <c r="Z84" s="19">
        <f t="shared" si="109"/>
        <v>5.508</v>
      </c>
      <c r="AA84" s="19">
        <f t="shared" si="109"/>
        <v>5.4099999999999993</v>
      </c>
      <c r="AB84" s="19">
        <f t="shared" si="109"/>
        <v>5.3119999999999994</v>
      </c>
      <c r="AC84" s="19">
        <f t="shared" si="109"/>
        <v>5.2139999999999995</v>
      </c>
      <c r="AD84" s="19">
        <f t="shared" si="109"/>
        <v>5.1159999999999997</v>
      </c>
      <c r="AE84" s="19">
        <f t="shared" si="109"/>
        <v>5.0179999999999998</v>
      </c>
      <c r="AF84" s="19">
        <f t="shared" si="109"/>
        <v>4.92</v>
      </c>
      <c r="AG84" s="19">
        <f t="shared" si="109"/>
        <v>4.8219999999999992</v>
      </c>
      <c r="AH84" s="19">
        <f t="shared" si="109"/>
        <v>4.7240000000000002</v>
      </c>
      <c r="AI84" s="19">
        <f t="shared" si="109"/>
        <v>4.6259999999999994</v>
      </c>
      <c r="AJ84" s="19">
        <f t="shared" si="109"/>
        <v>4.5279999999999996</v>
      </c>
      <c r="AK84" s="19">
        <f>VLOOKUP(Main!$AU$1,HydTab,4,FALSE)</f>
        <v>4.43</v>
      </c>
    </row>
    <row r="86" spans="1:37" ht="15.75" thickBot="1" x14ac:dyDescent="0.3">
      <c r="A86" s="21" t="s">
        <v>227</v>
      </c>
      <c r="B86" s="21" t="s">
        <v>99</v>
      </c>
      <c r="C86" s="21" t="s">
        <v>100</v>
      </c>
      <c r="D86" s="21" t="s">
        <v>101</v>
      </c>
      <c r="J86" s="1"/>
      <c r="K86" s="1"/>
    </row>
    <row r="87" spans="1:37" x14ac:dyDescent="0.25">
      <c r="A87" s="7" t="s">
        <v>67</v>
      </c>
      <c r="B87" s="19">
        <v>11.49</v>
      </c>
      <c r="C87" s="19">
        <v>7.67</v>
      </c>
      <c r="D87" s="19">
        <v>5.72</v>
      </c>
      <c r="J87" s="1"/>
      <c r="K87" s="1"/>
    </row>
    <row r="88" spans="1:37" x14ac:dyDescent="0.25">
      <c r="A88" s="7" t="s">
        <v>66</v>
      </c>
      <c r="B88" s="19">
        <v>10.210000000000001</v>
      </c>
      <c r="C88" s="19">
        <v>6.39</v>
      </c>
      <c r="D88" s="19">
        <v>4.43</v>
      </c>
      <c r="J88" s="1"/>
      <c r="K88" s="1"/>
    </row>
    <row r="89" spans="1:37" x14ac:dyDescent="0.25">
      <c r="A89" s="7" t="s">
        <v>79</v>
      </c>
      <c r="B89" s="19">
        <v>10.43</v>
      </c>
      <c r="C89" s="19">
        <v>5.81</v>
      </c>
      <c r="D89" s="19">
        <v>4.21</v>
      </c>
      <c r="J89" s="1"/>
      <c r="K89" s="1"/>
    </row>
    <row r="90" spans="1:37" x14ac:dyDescent="0.25">
      <c r="A90" s="7" t="s">
        <v>78</v>
      </c>
      <c r="B90" s="19">
        <v>11.05</v>
      </c>
      <c r="C90" s="19">
        <v>6.46</v>
      </c>
      <c r="D90" s="19">
        <v>4.9000000000000004</v>
      </c>
      <c r="J90" s="1"/>
      <c r="K90" s="1"/>
    </row>
    <row r="91" spans="1:37" x14ac:dyDescent="0.25">
      <c r="B91" s="103" t="s">
        <v>49</v>
      </c>
      <c r="C91" s="103"/>
      <c r="D91" s="103"/>
      <c r="E91" s="80"/>
      <c r="F91" s="80"/>
      <c r="G91" s="80"/>
      <c r="J91" s="1"/>
      <c r="K91" s="1"/>
    </row>
    <row r="92" spans="1:37" ht="15.75" thickBot="1" x14ac:dyDescent="0.3">
      <c r="A92" s="21" t="s">
        <v>48</v>
      </c>
      <c r="B92" s="21" t="s">
        <v>5</v>
      </c>
      <c r="C92" s="21" t="s">
        <v>7</v>
      </c>
      <c r="D92" s="21" t="s">
        <v>6</v>
      </c>
      <c r="J92" s="1"/>
      <c r="K92" s="1"/>
    </row>
    <row r="93" spans="1:37" x14ac:dyDescent="0.25">
      <c r="A93" s="7" t="s">
        <v>43</v>
      </c>
      <c r="B93" s="20">
        <v>0.1</v>
      </c>
      <c r="C93" s="20">
        <v>0.1</v>
      </c>
      <c r="D93" s="20">
        <v>0.1</v>
      </c>
      <c r="J93" s="1"/>
    </row>
    <row r="94" spans="1:37" x14ac:dyDescent="0.25">
      <c r="A94" s="7" t="s">
        <v>44</v>
      </c>
      <c r="B94" s="20">
        <v>0.15</v>
      </c>
      <c r="C94" s="20">
        <v>0.14000000000000001</v>
      </c>
      <c r="D94" s="20">
        <v>0.13</v>
      </c>
    </row>
    <row r="95" spans="1:37" x14ac:dyDescent="0.25">
      <c r="A95" s="7" t="s">
        <v>45</v>
      </c>
      <c r="B95" s="20">
        <v>0.14000000000000001</v>
      </c>
      <c r="C95" s="20">
        <v>0.11</v>
      </c>
      <c r="D95" s="20">
        <v>0.11</v>
      </c>
    </row>
    <row r="96" spans="1:37" x14ac:dyDescent="0.25">
      <c r="A96" s="7" t="s">
        <v>46</v>
      </c>
      <c r="B96" s="20">
        <v>0.21</v>
      </c>
      <c r="C96" s="20">
        <v>0.2</v>
      </c>
      <c r="D96" s="20">
        <v>0.19</v>
      </c>
    </row>
    <row r="97" spans="1:37" x14ac:dyDescent="0.25">
      <c r="A97" s="7" t="s">
        <v>47</v>
      </c>
      <c r="B97" s="20">
        <v>0.13</v>
      </c>
      <c r="C97" s="20">
        <v>0.12</v>
      </c>
      <c r="D97" s="20">
        <v>0.11</v>
      </c>
    </row>
    <row r="98" spans="1:37" x14ac:dyDescent="0.25">
      <c r="A98" s="7" t="s">
        <v>102</v>
      </c>
      <c r="B98" s="20">
        <v>0.14000000000000001</v>
      </c>
      <c r="C98" s="20">
        <v>0.13</v>
      </c>
      <c r="D98" s="20">
        <v>0.12</v>
      </c>
    </row>
    <row r="100" spans="1:37" ht="15.75" thickBot="1" x14ac:dyDescent="0.3">
      <c r="A100" s="21" t="s">
        <v>130</v>
      </c>
      <c r="B100" s="21"/>
      <c r="C100" s="21"/>
      <c r="D100" s="21"/>
      <c r="E100" s="21">
        <v>2018</v>
      </c>
      <c r="F100" s="21">
        <v>2019</v>
      </c>
      <c r="G100" s="21">
        <v>2020</v>
      </c>
      <c r="H100" s="21">
        <v>2021</v>
      </c>
      <c r="I100" s="21">
        <v>2022</v>
      </c>
      <c r="J100" s="21">
        <v>2023</v>
      </c>
      <c r="K100" s="21">
        <v>2024</v>
      </c>
      <c r="L100" s="21">
        <v>2025</v>
      </c>
      <c r="M100" s="21">
        <v>2026</v>
      </c>
      <c r="N100" s="21">
        <v>2027</v>
      </c>
      <c r="O100" s="21">
        <v>2028</v>
      </c>
      <c r="P100" s="21">
        <v>2029</v>
      </c>
      <c r="Q100" s="21">
        <v>2030</v>
      </c>
      <c r="R100" s="21">
        <v>2031</v>
      </c>
      <c r="S100" s="21">
        <v>2032</v>
      </c>
      <c r="T100" s="21">
        <v>2033</v>
      </c>
      <c r="U100" s="21">
        <v>2034</v>
      </c>
      <c r="V100" s="21">
        <v>2035</v>
      </c>
      <c r="W100" s="21">
        <v>2036</v>
      </c>
      <c r="X100" s="21">
        <v>2037</v>
      </c>
      <c r="Y100" s="21">
        <v>2038</v>
      </c>
      <c r="Z100" s="21">
        <v>2039</v>
      </c>
      <c r="AA100" s="21">
        <v>2040</v>
      </c>
      <c r="AB100" s="21">
        <v>2041</v>
      </c>
      <c r="AC100" s="21">
        <v>2042</v>
      </c>
      <c r="AD100" s="21">
        <v>2043</v>
      </c>
      <c r="AE100" s="21">
        <v>2044</v>
      </c>
      <c r="AF100" s="21">
        <v>2045</v>
      </c>
      <c r="AG100" s="21">
        <v>2046</v>
      </c>
      <c r="AH100" s="21">
        <v>2047</v>
      </c>
      <c r="AI100" s="21">
        <v>2048</v>
      </c>
      <c r="AJ100" s="21">
        <v>2049</v>
      </c>
      <c r="AK100" s="21">
        <v>2050</v>
      </c>
    </row>
    <row r="101" spans="1:37" x14ac:dyDescent="0.25">
      <c r="A101" s="7" t="s">
        <v>11</v>
      </c>
      <c r="B101" s="7"/>
      <c r="C101" s="7"/>
      <c r="D101" s="7"/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f t="shared" ref="R101:R104" si="110">Q101</f>
        <v>0</v>
      </c>
      <c r="S101" s="7">
        <f t="shared" ref="S101:AK104" si="111">R101</f>
        <v>0</v>
      </c>
      <c r="T101" s="7">
        <f t="shared" si="111"/>
        <v>0</v>
      </c>
      <c r="U101" s="7">
        <f t="shared" si="111"/>
        <v>0</v>
      </c>
      <c r="V101" s="7">
        <f t="shared" si="111"/>
        <v>0</v>
      </c>
      <c r="W101" s="7">
        <f t="shared" si="111"/>
        <v>0</v>
      </c>
      <c r="X101" s="7">
        <f t="shared" si="111"/>
        <v>0</v>
      </c>
      <c r="Y101" s="7">
        <f t="shared" si="111"/>
        <v>0</v>
      </c>
      <c r="Z101" s="7">
        <f t="shared" si="111"/>
        <v>0</v>
      </c>
      <c r="AA101" s="7">
        <f t="shared" si="111"/>
        <v>0</v>
      </c>
      <c r="AB101" s="7">
        <f t="shared" si="111"/>
        <v>0</v>
      </c>
      <c r="AC101" s="7">
        <f t="shared" si="111"/>
        <v>0</v>
      </c>
      <c r="AD101" s="7">
        <f t="shared" si="111"/>
        <v>0</v>
      </c>
      <c r="AE101" s="7">
        <f t="shared" si="111"/>
        <v>0</v>
      </c>
      <c r="AF101" s="7">
        <f t="shared" si="111"/>
        <v>0</v>
      </c>
      <c r="AG101" s="7">
        <f t="shared" si="111"/>
        <v>0</v>
      </c>
      <c r="AH101" s="7">
        <f t="shared" si="111"/>
        <v>0</v>
      </c>
      <c r="AI101" s="7">
        <f t="shared" si="111"/>
        <v>0</v>
      </c>
      <c r="AJ101" s="7">
        <f t="shared" si="111"/>
        <v>0</v>
      </c>
      <c r="AK101" s="7">
        <f t="shared" si="111"/>
        <v>0</v>
      </c>
    </row>
    <row r="102" spans="1:37" x14ac:dyDescent="0.25">
      <c r="A102" s="7" t="s">
        <v>12</v>
      </c>
      <c r="B102" s="7"/>
      <c r="C102" s="7"/>
      <c r="D102" s="7"/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f t="shared" si="110"/>
        <v>0</v>
      </c>
      <c r="S102" s="7">
        <f t="shared" ref="S102:AG102" si="112">R102</f>
        <v>0</v>
      </c>
      <c r="T102" s="7">
        <f t="shared" si="112"/>
        <v>0</v>
      </c>
      <c r="U102" s="7">
        <f t="shared" si="112"/>
        <v>0</v>
      </c>
      <c r="V102" s="7">
        <f t="shared" si="112"/>
        <v>0</v>
      </c>
      <c r="W102" s="7">
        <f t="shared" si="112"/>
        <v>0</v>
      </c>
      <c r="X102" s="7">
        <f t="shared" si="112"/>
        <v>0</v>
      </c>
      <c r="Y102" s="7">
        <f t="shared" si="112"/>
        <v>0</v>
      </c>
      <c r="Z102" s="7">
        <f t="shared" si="112"/>
        <v>0</v>
      </c>
      <c r="AA102" s="7">
        <f t="shared" si="112"/>
        <v>0</v>
      </c>
      <c r="AB102" s="7">
        <f t="shared" si="112"/>
        <v>0</v>
      </c>
      <c r="AC102" s="7">
        <f t="shared" si="112"/>
        <v>0</v>
      </c>
      <c r="AD102" s="7">
        <f t="shared" si="112"/>
        <v>0</v>
      </c>
      <c r="AE102" s="7">
        <f t="shared" si="112"/>
        <v>0</v>
      </c>
      <c r="AF102" s="7">
        <f t="shared" si="112"/>
        <v>0</v>
      </c>
      <c r="AG102" s="7">
        <f t="shared" si="112"/>
        <v>0</v>
      </c>
      <c r="AH102" s="7">
        <f t="shared" si="111"/>
        <v>0</v>
      </c>
      <c r="AI102" s="7">
        <f t="shared" si="111"/>
        <v>0</v>
      </c>
      <c r="AJ102" s="7">
        <f t="shared" si="111"/>
        <v>0</v>
      </c>
      <c r="AK102" s="7">
        <f t="shared" si="111"/>
        <v>0</v>
      </c>
    </row>
    <row r="103" spans="1:37" x14ac:dyDescent="0.25">
      <c r="A103" s="7" t="s">
        <v>13</v>
      </c>
      <c r="B103" s="7"/>
      <c r="C103" s="19"/>
      <c r="D103" s="19"/>
      <c r="E103" s="19">
        <v>8.0755199999999999E-2</v>
      </c>
      <c r="F103" s="19">
        <v>8.0363520000000008E-2</v>
      </c>
      <c r="G103" s="19">
        <v>7.8833520000000018E-2</v>
      </c>
      <c r="H103" s="19">
        <v>7.7328000000000008E-2</v>
      </c>
      <c r="I103" s="19">
        <v>7.5798000000000004E-2</v>
      </c>
      <c r="J103" s="19">
        <v>7.4268000000000001E-2</v>
      </c>
      <c r="K103" s="19">
        <v>7.2750240000000008E-2</v>
      </c>
      <c r="L103" s="19">
        <v>7.1232480000000001E-2</v>
      </c>
      <c r="M103" s="19">
        <v>6.9702479999999997E-2</v>
      </c>
      <c r="N103" s="19">
        <v>6.8184720000000004E-2</v>
      </c>
      <c r="O103" s="19">
        <v>6.6666960000000011E-2</v>
      </c>
      <c r="P103" s="19">
        <v>6.514919999999999E-2</v>
      </c>
      <c r="Q103" s="19">
        <v>6.3619199999999987E-2</v>
      </c>
      <c r="R103" s="19">
        <f t="shared" si="110"/>
        <v>6.3619199999999987E-2</v>
      </c>
      <c r="S103" s="19">
        <f t="shared" si="111"/>
        <v>6.3619199999999987E-2</v>
      </c>
      <c r="T103" s="19">
        <f t="shared" si="111"/>
        <v>6.3619199999999987E-2</v>
      </c>
      <c r="U103" s="19">
        <f t="shared" si="111"/>
        <v>6.3619199999999987E-2</v>
      </c>
      <c r="V103" s="19">
        <f t="shared" si="111"/>
        <v>6.3619199999999987E-2</v>
      </c>
      <c r="W103" s="19">
        <f t="shared" si="111"/>
        <v>6.3619199999999987E-2</v>
      </c>
      <c r="X103" s="19">
        <f t="shared" si="111"/>
        <v>6.3619199999999987E-2</v>
      </c>
      <c r="Y103" s="19">
        <f t="shared" si="111"/>
        <v>6.3619199999999987E-2</v>
      </c>
      <c r="Z103" s="19">
        <f t="shared" si="111"/>
        <v>6.3619199999999987E-2</v>
      </c>
      <c r="AA103" s="19">
        <f t="shared" si="111"/>
        <v>6.3619199999999987E-2</v>
      </c>
      <c r="AB103" s="19">
        <f t="shared" si="111"/>
        <v>6.3619199999999987E-2</v>
      </c>
      <c r="AC103" s="19">
        <f t="shared" si="111"/>
        <v>6.3619199999999987E-2</v>
      </c>
      <c r="AD103" s="19">
        <f t="shared" si="111"/>
        <v>6.3619199999999987E-2</v>
      </c>
      <c r="AE103" s="19">
        <f t="shared" si="111"/>
        <v>6.3619199999999987E-2</v>
      </c>
      <c r="AF103" s="19">
        <f t="shared" si="111"/>
        <v>6.3619199999999987E-2</v>
      </c>
      <c r="AG103" s="19">
        <f t="shared" si="111"/>
        <v>6.3619199999999987E-2</v>
      </c>
      <c r="AH103" s="19">
        <f t="shared" si="111"/>
        <v>6.3619199999999987E-2</v>
      </c>
      <c r="AI103" s="19">
        <f t="shared" si="111"/>
        <v>6.3619199999999987E-2</v>
      </c>
      <c r="AJ103" s="19">
        <f t="shared" si="111"/>
        <v>6.3619199999999987E-2</v>
      </c>
      <c r="AK103" s="19">
        <f t="shared" si="111"/>
        <v>6.3619199999999987E-2</v>
      </c>
    </row>
    <row r="104" spans="1:37" x14ac:dyDescent="0.25">
      <c r="A104" s="7" t="s">
        <v>14</v>
      </c>
      <c r="B104" s="7"/>
      <c r="C104" s="19"/>
      <c r="D104" s="19"/>
      <c r="E104" s="19">
        <v>0.14068799999999998</v>
      </c>
      <c r="F104" s="19">
        <v>0.13575600000000002</v>
      </c>
      <c r="G104" s="19">
        <v>0.13350600000000004</v>
      </c>
      <c r="H104" s="19">
        <v>0.13123799999999999</v>
      </c>
      <c r="I104" s="19">
        <v>0.12898800000000002</v>
      </c>
      <c r="J104" s="19">
        <v>0.12672</v>
      </c>
      <c r="K104" s="19">
        <v>0.12445200000000002</v>
      </c>
      <c r="L104" s="19">
        <v>0.12220199999999999</v>
      </c>
      <c r="M104" s="19">
        <v>0.119934</v>
      </c>
      <c r="N104" s="19">
        <v>0.117684</v>
      </c>
      <c r="O104" s="19">
        <v>0.11541600000000002</v>
      </c>
      <c r="P104" s="19">
        <v>0.11316600000000002</v>
      </c>
      <c r="Q104" s="19">
        <v>0.11089800000000001</v>
      </c>
      <c r="R104" s="19">
        <f t="shared" si="110"/>
        <v>0.11089800000000001</v>
      </c>
      <c r="S104" s="19">
        <f t="shared" si="111"/>
        <v>0.11089800000000001</v>
      </c>
      <c r="T104" s="19">
        <f t="shared" si="111"/>
        <v>0.11089800000000001</v>
      </c>
      <c r="U104" s="19">
        <f t="shared" si="111"/>
        <v>0.11089800000000001</v>
      </c>
      <c r="V104" s="19">
        <f t="shared" si="111"/>
        <v>0.11089800000000001</v>
      </c>
      <c r="W104" s="19">
        <f t="shared" si="111"/>
        <v>0.11089800000000001</v>
      </c>
      <c r="X104" s="19">
        <f t="shared" si="111"/>
        <v>0.11089800000000001</v>
      </c>
      <c r="Y104" s="19">
        <f t="shared" si="111"/>
        <v>0.11089800000000001</v>
      </c>
      <c r="Z104" s="19">
        <f t="shared" si="111"/>
        <v>0.11089800000000001</v>
      </c>
      <c r="AA104" s="19">
        <f t="shared" si="111"/>
        <v>0.11089800000000001</v>
      </c>
      <c r="AB104" s="19">
        <f t="shared" si="111"/>
        <v>0.11089800000000001</v>
      </c>
      <c r="AC104" s="19">
        <f t="shared" si="111"/>
        <v>0.11089800000000001</v>
      </c>
      <c r="AD104" s="19">
        <f t="shared" si="111"/>
        <v>0.11089800000000001</v>
      </c>
      <c r="AE104" s="19">
        <f t="shared" si="111"/>
        <v>0.11089800000000001</v>
      </c>
      <c r="AF104" s="19">
        <f t="shared" si="111"/>
        <v>0.11089800000000001</v>
      </c>
      <c r="AG104" s="19">
        <f t="shared" si="111"/>
        <v>0.11089800000000001</v>
      </c>
      <c r="AH104" s="19">
        <f t="shared" si="111"/>
        <v>0.11089800000000001</v>
      </c>
      <c r="AI104" s="19">
        <f t="shared" si="111"/>
        <v>0.11089800000000001</v>
      </c>
      <c r="AJ104" s="19">
        <f t="shared" si="111"/>
        <v>0.11089800000000001</v>
      </c>
      <c r="AK104" s="19">
        <f t="shared" si="111"/>
        <v>0.11089800000000001</v>
      </c>
    </row>
    <row r="105" spans="1:37" x14ac:dyDescent="0.25">
      <c r="A105" s="7" t="s">
        <v>82</v>
      </c>
      <c r="B105" s="7"/>
      <c r="C105" s="19"/>
      <c r="D105" s="19"/>
      <c r="E105" s="20">
        <f>VLOOKUP(Main!$AU$2 &amp; " - Class 2B-3",H2LCFSTab,MATCH(E$100,$A$108:$AK$108,0),FALSE)</f>
        <v>1.5566972849999998</v>
      </c>
      <c r="F105" s="20">
        <f>VLOOKUP(Main!$AU$2 &amp; " - Class 2B-3",H2LCFSTab,MATCH(F$100,$A$108:$AK$108,0),FALSE)</f>
        <v>1.5472860974999998</v>
      </c>
      <c r="G105" s="20">
        <f>VLOOKUP(Main!$AU$2 &amp; " - Class 2B-3",H2LCFSTab,MATCH(G$100,$A$108:$AK$108,0),FALSE)</f>
        <v>1.5112919249999996</v>
      </c>
      <c r="H105" s="20">
        <f>VLOOKUP(Main!$AU$2 &amp; " - Class 2B-3",H2LCFSTab,MATCH(H$100,$A$108:$AK$108,0),FALSE)</f>
        <v>1.4752977524999995</v>
      </c>
      <c r="I105" s="20">
        <f>VLOOKUP(Main!$AU$2 &amp; " - Class 2B-3",H2LCFSTab,MATCH(I$100,$A$108:$AK$108,0),FALSE)</f>
        <v>1.4393035799999998</v>
      </c>
      <c r="J105" s="20">
        <f>VLOOKUP(Main!$AU$2 &amp; " - Class 2B-3",H2LCFSTab,MATCH(J$100,$A$108:$AK$108,0),FALSE)</f>
        <v>1.4033094074999999</v>
      </c>
      <c r="K105" s="20">
        <f>VLOOKUP(Main!$AU$2 &amp; " - Class 2B-3",H2LCFSTab,MATCH(K$100,$A$108:$AK$108,0),FALSE)</f>
        <v>1.3673152349999997</v>
      </c>
      <c r="L105" s="20">
        <f>VLOOKUP(Main!$AU$2 &amp; " - Class 2B-3",H2LCFSTab,MATCH(L$100,$A$108:$AK$108,0),FALSE)</f>
        <v>1.3313210624999998</v>
      </c>
      <c r="M105" s="20">
        <f>VLOOKUP(Main!$AU$2 &amp; " - Class 2B-3",H2LCFSTab,MATCH(M$100,$A$108:$AK$108,0),FALSE)</f>
        <v>1.2953268899999999</v>
      </c>
      <c r="N105" s="20">
        <f>VLOOKUP(Main!$AU$2 &amp; " - Class 2B-3",H2LCFSTab,MATCH(N$100,$A$108:$AK$108,0),FALSE)</f>
        <v>1.2593327175000002</v>
      </c>
      <c r="O105" s="20">
        <f>VLOOKUP(Main!$AU$2 &amp; " - Class 2B-3",H2LCFSTab,MATCH(O$100,$A$108:$AK$108,0),FALSE)</f>
        <v>1.2233385450000001</v>
      </c>
      <c r="P105" s="20">
        <f>VLOOKUP(Main!$AU$2 &amp; " - Class 2B-3",H2LCFSTab,MATCH(P$100,$A$108:$AK$108,0),FALSE)</f>
        <v>1.1873443725000001</v>
      </c>
      <c r="Q105" s="20">
        <f>VLOOKUP(Main!$AU$2 &amp; " - Class 2B-3",H2LCFSTab,MATCH(Q$100,$A$108:$AK$108,0),FALSE)</f>
        <v>1.1513502</v>
      </c>
      <c r="R105" s="20">
        <f>VLOOKUP(Main!$AU$2 &amp; " - Class 2B-3",H2LCFSTab,MATCH(R$100,$A$108:$AK$108,0),FALSE)</f>
        <v>1.1513502</v>
      </c>
      <c r="S105" s="20">
        <f>VLOOKUP(Main!$AU$2 &amp; " - Class 2B-3",H2LCFSTab,MATCH(S$100,$A$108:$AK$108,0),FALSE)</f>
        <v>1.1513502</v>
      </c>
      <c r="T105" s="20">
        <f>VLOOKUP(Main!$AU$2 &amp; " - Class 2B-3",H2LCFSTab,MATCH(T$100,$A$108:$AK$108,0),FALSE)</f>
        <v>1.1513502</v>
      </c>
      <c r="U105" s="20">
        <f>VLOOKUP(Main!$AU$2 &amp; " - Class 2B-3",H2LCFSTab,MATCH(U$100,$A$108:$AK$108,0),FALSE)</f>
        <v>1.1513502</v>
      </c>
      <c r="V105" s="20">
        <f>VLOOKUP(Main!$AU$2 &amp; " - Class 2B-3",H2LCFSTab,MATCH(V$100,$A$108:$AK$108,0),FALSE)</f>
        <v>1.1513502</v>
      </c>
      <c r="W105" s="20">
        <f>VLOOKUP(Main!$AU$2 &amp; " - Class 2B-3",H2LCFSTab,MATCH(W$100,$A$108:$AK$108,0),FALSE)</f>
        <v>1.1513502</v>
      </c>
      <c r="X105" s="20">
        <f>VLOOKUP(Main!$AU$2 &amp; " - Class 2B-3",H2LCFSTab,MATCH(X$100,$A$108:$AK$108,0),FALSE)</f>
        <v>1.1513502</v>
      </c>
      <c r="Y105" s="20">
        <f>VLOOKUP(Main!$AU$2 &amp; " - Class 2B-3",H2LCFSTab,MATCH(Y$100,$A$108:$AK$108,0),FALSE)</f>
        <v>1.1513502</v>
      </c>
      <c r="Z105" s="20">
        <f>VLOOKUP(Main!$AU$2 &amp; " - Class 2B-3",H2LCFSTab,MATCH(Z$100,$A$108:$AK$108,0),FALSE)</f>
        <v>1.1513502</v>
      </c>
      <c r="AA105" s="20">
        <f>VLOOKUP(Main!$AU$2 &amp; " - Class 2B-3",H2LCFSTab,MATCH(AA$100,$A$108:$AK$108,0),FALSE)</f>
        <v>1.1513502</v>
      </c>
      <c r="AB105" s="20">
        <f>VLOOKUP(Main!$AU$2 &amp; " - Class 2B-3",H2LCFSTab,MATCH(AB$100,$A$108:$AK$108,0),FALSE)</f>
        <v>1.1513502</v>
      </c>
      <c r="AC105" s="20">
        <f>VLOOKUP(Main!$AU$2 &amp; " - Class 2B-3",H2LCFSTab,MATCH(AC$100,$A$108:$AK$108,0),FALSE)</f>
        <v>1.1513502</v>
      </c>
      <c r="AD105" s="20">
        <f>VLOOKUP(Main!$AU$2 &amp; " - Class 2B-3",H2LCFSTab,MATCH(AD$100,$A$108:$AK$108,0),FALSE)</f>
        <v>1.1513502</v>
      </c>
      <c r="AE105" s="20">
        <f>VLOOKUP(Main!$AU$2 &amp; " - Class 2B-3",H2LCFSTab,MATCH(AE$100,$A$108:$AK$108,0),FALSE)</f>
        <v>1.1513502</v>
      </c>
      <c r="AF105" s="20">
        <f>VLOOKUP(Main!$AU$2 &amp; " - Class 2B-3",H2LCFSTab,MATCH(AF$100,$A$108:$AK$108,0),FALSE)</f>
        <v>1.1513502</v>
      </c>
      <c r="AG105" s="20">
        <f>VLOOKUP(Main!$AU$2 &amp; " - Class 2B-3",H2LCFSTab,MATCH(AG$100,$A$108:$AK$108,0),FALSE)</f>
        <v>1.1513502</v>
      </c>
      <c r="AH105" s="20">
        <f>VLOOKUP(Main!$AU$2 &amp; " - Class 2B-3",H2LCFSTab,MATCH(AH$100,$A$108:$AK$108,0),FALSE)</f>
        <v>1.1513502</v>
      </c>
      <c r="AI105" s="20">
        <f>VLOOKUP(Main!$AU$2 &amp; " - Class 2B-3",H2LCFSTab,MATCH(AI$100,$A$108:$AK$108,0),FALSE)</f>
        <v>1.1513502</v>
      </c>
      <c r="AJ105" s="20">
        <f>VLOOKUP(Main!$AU$2 &amp; " - Class 2B-3",H2LCFSTab,MATCH(AJ$100,$A$108:$AK$108,0),FALSE)</f>
        <v>1.1513502</v>
      </c>
      <c r="AK105" s="20">
        <f>VLOOKUP(Main!$AU$2 &amp; " - Class 2B-3",H2LCFSTab,MATCH(AK$100,$A$108:$AK$108,0),FALSE)</f>
        <v>1.1513502</v>
      </c>
    </row>
    <row r="106" spans="1:37" x14ac:dyDescent="0.25">
      <c r="A106" s="7" t="s">
        <v>83</v>
      </c>
      <c r="B106" s="7"/>
      <c r="C106" s="7"/>
      <c r="D106" s="7"/>
      <c r="E106" s="20">
        <f>VLOOKUP(Main!$AU$2 &amp; " - Class 4-8",H2LCFSTab,MATCH(E$100,$A$108:$AK$108,0),FALSE)</f>
        <v>0.90654349499999964</v>
      </c>
      <c r="F106" s="20">
        <f>VLOOKUP(Main!$AU$2 &amp; " - Class 4-8",H2LCFSTab,MATCH(F$100,$A$108:$AK$108,0),FALSE)</f>
        <v>0.89939099249999954</v>
      </c>
      <c r="G106" s="20">
        <f>VLOOKUP(Main!$AU$2 &amp; " - Class 4-8",H2LCFSTab,MATCH(G$100,$A$108:$AK$108,0),FALSE)</f>
        <v>0.87203542139999979</v>
      </c>
      <c r="H106" s="20">
        <f>VLOOKUP(Main!$AU$2 &amp; " - Class 4-8",H2LCFSTab,MATCH(H$100,$A$108:$AK$108,0),FALSE)</f>
        <v>0.84467985029999948</v>
      </c>
      <c r="I106" s="20">
        <f>VLOOKUP(Main!$AU$2 &amp; " - Class 4-8",H2LCFSTab,MATCH(I$100,$A$108:$AK$108,0),FALSE)</f>
        <v>0.81732427919999984</v>
      </c>
      <c r="J106" s="20">
        <f>VLOOKUP(Main!$AU$2 &amp; " - Class 4-8",H2LCFSTab,MATCH(J$100,$A$108:$AK$108,0),FALSE)</f>
        <v>0.78996870809999997</v>
      </c>
      <c r="K106" s="20">
        <f>VLOOKUP(Main!$AU$2 &amp; " - Class 4-8",H2LCFSTab,MATCH(K$100,$A$108:$AK$108,0),FALSE)</f>
        <v>0.76261313699999989</v>
      </c>
      <c r="L106" s="20">
        <f>VLOOKUP(Main!$AU$2 &amp; " - Class 4-8",H2LCFSTab,MATCH(L$100,$A$108:$AK$108,0),FALSE)</f>
        <v>0.73525756589999958</v>
      </c>
      <c r="M106" s="20">
        <f>VLOOKUP(Main!$AU$2 &amp; " - Class 4-8",H2LCFSTab,MATCH(M$100,$A$108:$AK$108,0),FALSE)</f>
        <v>0.70790199479999982</v>
      </c>
      <c r="N106" s="20">
        <f>VLOOKUP(Main!$AU$2 &amp; " - Class 4-8",H2LCFSTab,MATCH(N$100,$A$108:$AK$108,0),FALSE)</f>
        <v>0.68054642370000007</v>
      </c>
      <c r="O106" s="20">
        <f>VLOOKUP(Main!$AU$2 &amp; " - Class 4-8",H2LCFSTab,MATCH(O$100,$A$108:$AK$108,0),FALSE)</f>
        <v>0.65319085259999987</v>
      </c>
      <c r="P106" s="20">
        <f>VLOOKUP(Main!$AU$2 &amp; " - Class 4-8",H2LCFSTab,MATCH(P$100,$A$108:$AK$108,0),FALSE)</f>
        <v>0.62583528150000001</v>
      </c>
      <c r="Q106" s="20">
        <f>VLOOKUP(Main!$AU$2 &amp; " - Class 4-8",H2LCFSTab,MATCH(Q$100,$A$108:$AK$108,0),FALSE)</f>
        <v>0.59847971039999981</v>
      </c>
      <c r="R106" s="20">
        <f>VLOOKUP(Main!$AU$2 &amp; " - Class 4-8",H2LCFSTab,MATCH(R$100,$A$108:$AK$108,0),FALSE)</f>
        <v>0.59847971039999981</v>
      </c>
      <c r="S106" s="20">
        <f>VLOOKUP(Main!$AU$2 &amp; " - Class 4-8",H2LCFSTab,MATCH(S$100,$A$108:$AK$108,0),FALSE)</f>
        <v>0.59847971039999981</v>
      </c>
      <c r="T106" s="20">
        <f>VLOOKUP(Main!$AU$2 &amp; " - Class 4-8",H2LCFSTab,MATCH(T$100,$A$108:$AK$108,0),FALSE)</f>
        <v>0.59847971039999981</v>
      </c>
      <c r="U106" s="20">
        <f>VLOOKUP(Main!$AU$2 &amp; " - Class 4-8",H2LCFSTab,MATCH(U$100,$A$108:$AK$108,0),FALSE)</f>
        <v>0.59847971039999981</v>
      </c>
      <c r="V106" s="20">
        <f>VLOOKUP(Main!$AU$2 &amp; " - Class 4-8",H2LCFSTab,MATCH(V$100,$A$108:$AK$108,0),FALSE)</f>
        <v>0.59847971039999981</v>
      </c>
      <c r="W106" s="20">
        <f>VLOOKUP(Main!$AU$2 &amp; " - Class 4-8",H2LCFSTab,MATCH(W$100,$A$108:$AK$108,0),FALSE)</f>
        <v>0.59847971039999981</v>
      </c>
      <c r="X106" s="20">
        <f>VLOOKUP(Main!$AU$2 &amp; " - Class 4-8",H2LCFSTab,MATCH(X$100,$A$108:$AK$108,0),FALSE)</f>
        <v>0.59847971039999981</v>
      </c>
      <c r="Y106" s="20">
        <f>VLOOKUP(Main!$AU$2 &amp; " - Class 4-8",H2LCFSTab,MATCH(Y$100,$A$108:$AK$108,0),FALSE)</f>
        <v>0.59847971039999981</v>
      </c>
      <c r="Z106" s="20">
        <f>VLOOKUP(Main!$AU$2 &amp; " - Class 4-8",H2LCFSTab,MATCH(Z$100,$A$108:$AK$108,0),FALSE)</f>
        <v>0.59847971039999981</v>
      </c>
      <c r="AA106" s="20">
        <f>VLOOKUP(Main!$AU$2 &amp; " - Class 4-8",H2LCFSTab,MATCH(AA$100,$A$108:$AK$108,0),FALSE)</f>
        <v>0.59847971039999981</v>
      </c>
      <c r="AB106" s="20">
        <f>VLOOKUP(Main!$AU$2 &amp; " - Class 4-8",H2LCFSTab,MATCH(AB$100,$A$108:$AK$108,0),FALSE)</f>
        <v>0.59847971039999981</v>
      </c>
      <c r="AC106" s="20">
        <f>VLOOKUP(Main!$AU$2 &amp; " - Class 4-8",H2LCFSTab,MATCH(AC$100,$A$108:$AK$108,0),FALSE)</f>
        <v>0.59847971039999981</v>
      </c>
      <c r="AD106" s="20">
        <f>VLOOKUP(Main!$AU$2 &amp; " - Class 4-8",H2LCFSTab,MATCH(AD$100,$A$108:$AK$108,0),FALSE)</f>
        <v>0.59847971039999981</v>
      </c>
      <c r="AE106" s="20">
        <f>VLOOKUP(Main!$AU$2 &amp; " - Class 4-8",H2LCFSTab,MATCH(AE$100,$A$108:$AK$108,0),FALSE)</f>
        <v>0.59847971039999981</v>
      </c>
      <c r="AF106" s="20">
        <f>VLOOKUP(Main!$AU$2 &amp; " - Class 4-8",H2LCFSTab,MATCH(AF$100,$A$108:$AK$108,0),FALSE)</f>
        <v>0.59847971039999981</v>
      </c>
      <c r="AG106" s="20">
        <f>VLOOKUP(Main!$AU$2 &amp; " - Class 4-8",H2LCFSTab,MATCH(AG$100,$A$108:$AK$108,0),FALSE)</f>
        <v>0.59847971039999981</v>
      </c>
      <c r="AH106" s="20">
        <f>VLOOKUP(Main!$AU$2 &amp; " - Class 4-8",H2LCFSTab,MATCH(AH$100,$A$108:$AK$108,0),FALSE)</f>
        <v>0.59847971039999981</v>
      </c>
      <c r="AI106" s="20">
        <f>VLOOKUP(Main!$AU$2 &amp; " - Class 4-8",H2LCFSTab,MATCH(AI$100,$A$108:$AK$108,0),FALSE)</f>
        <v>0.59847971039999981</v>
      </c>
      <c r="AJ106" s="20">
        <f>VLOOKUP(Main!$AU$2 &amp; " - Class 4-8",H2LCFSTab,MATCH(AJ$100,$A$108:$AK$108,0),FALSE)</f>
        <v>0.59847971039999981</v>
      </c>
      <c r="AK106" s="20">
        <f>VLOOKUP(Main!$AU$2 &amp; " - Class 4-8",H2LCFSTab,MATCH(AK$100,$A$108:$AK$108,0),FALSE)</f>
        <v>0.59847971039999981</v>
      </c>
    </row>
    <row r="108" spans="1:37" ht="15.75" thickBot="1" x14ac:dyDescent="0.3">
      <c r="A108" s="21" t="s">
        <v>228</v>
      </c>
      <c r="B108" s="21"/>
      <c r="C108" s="21"/>
      <c r="D108" s="21"/>
      <c r="E108" s="21">
        <v>2018</v>
      </c>
      <c r="F108" s="21">
        <v>2019</v>
      </c>
      <c r="G108" s="21">
        <v>2020</v>
      </c>
      <c r="H108" s="21">
        <v>2021</v>
      </c>
      <c r="I108" s="21">
        <v>2022</v>
      </c>
      <c r="J108" s="21">
        <v>2023</v>
      </c>
      <c r="K108" s="21">
        <v>2024</v>
      </c>
      <c r="L108" s="21">
        <v>2025</v>
      </c>
      <c r="M108" s="21">
        <v>2026</v>
      </c>
      <c r="N108" s="21">
        <v>2027</v>
      </c>
      <c r="O108" s="21">
        <v>2028</v>
      </c>
      <c r="P108" s="21">
        <v>2029</v>
      </c>
      <c r="Q108" s="21">
        <v>2030</v>
      </c>
      <c r="R108" s="21">
        <v>2031</v>
      </c>
      <c r="S108" s="21">
        <v>2032</v>
      </c>
      <c r="T108" s="21">
        <v>2033</v>
      </c>
      <c r="U108" s="21">
        <v>2034</v>
      </c>
      <c r="V108" s="21">
        <v>2035</v>
      </c>
      <c r="W108" s="21">
        <v>2036</v>
      </c>
      <c r="X108" s="21">
        <v>2037</v>
      </c>
      <c r="Y108" s="21">
        <v>2038</v>
      </c>
      <c r="Z108" s="21">
        <v>2039</v>
      </c>
      <c r="AA108" s="21">
        <v>2040</v>
      </c>
      <c r="AB108" s="21">
        <v>2041</v>
      </c>
      <c r="AC108" s="21">
        <v>2042</v>
      </c>
      <c r="AD108" s="21">
        <v>2043</v>
      </c>
      <c r="AE108" s="21">
        <v>2044</v>
      </c>
      <c r="AF108" s="21">
        <v>2045</v>
      </c>
      <c r="AG108" s="21">
        <v>2046</v>
      </c>
      <c r="AH108" s="21">
        <v>2047</v>
      </c>
      <c r="AI108" s="21">
        <v>2048</v>
      </c>
      <c r="AJ108" s="21">
        <v>2049</v>
      </c>
      <c r="AK108" s="21">
        <v>2050</v>
      </c>
    </row>
    <row r="109" spans="1:37" x14ac:dyDescent="0.25">
      <c r="A109" s="7" t="s">
        <v>162</v>
      </c>
      <c r="B109" s="7"/>
      <c r="C109" s="7"/>
      <c r="D109" s="7"/>
      <c r="E109" s="19">
        <v>1.3460025150000001</v>
      </c>
      <c r="F109" s="19">
        <v>1.3365913275000001</v>
      </c>
      <c r="G109" s="19">
        <v>1.3005971549999999</v>
      </c>
      <c r="H109" s="19">
        <v>1.2646029824999996</v>
      </c>
      <c r="I109" s="19">
        <v>1.2286088099999999</v>
      </c>
      <c r="J109" s="19">
        <v>1.1926146374999997</v>
      </c>
      <c r="K109" s="19">
        <v>1.1566204649999998</v>
      </c>
      <c r="L109" s="19">
        <v>1.1206262924999997</v>
      </c>
      <c r="M109" s="19">
        <v>1.08463212</v>
      </c>
      <c r="N109" s="19">
        <v>1.0486379475000003</v>
      </c>
      <c r="O109" s="19">
        <v>1.0126437749999999</v>
      </c>
      <c r="P109" s="19">
        <v>0.97664960249999999</v>
      </c>
      <c r="Q109" s="19">
        <v>0.94065543000000018</v>
      </c>
      <c r="R109" s="19">
        <f t="shared" ref="R109:R120" si="113">Q109</f>
        <v>0.94065543000000018</v>
      </c>
      <c r="S109" s="19">
        <f t="shared" ref="S109:AK120" si="114">R109</f>
        <v>0.94065543000000018</v>
      </c>
      <c r="T109" s="19">
        <f t="shared" si="114"/>
        <v>0.94065543000000018</v>
      </c>
      <c r="U109" s="19">
        <f t="shared" si="114"/>
        <v>0.94065543000000018</v>
      </c>
      <c r="V109" s="19">
        <f t="shared" si="114"/>
        <v>0.94065543000000018</v>
      </c>
      <c r="W109" s="19">
        <f t="shared" si="114"/>
        <v>0.94065543000000018</v>
      </c>
      <c r="X109" s="19">
        <f t="shared" si="114"/>
        <v>0.94065543000000018</v>
      </c>
      <c r="Y109" s="19">
        <f t="shared" si="114"/>
        <v>0.94065543000000018</v>
      </c>
      <c r="Z109" s="19">
        <f t="shared" si="114"/>
        <v>0.94065543000000018</v>
      </c>
      <c r="AA109" s="19">
        <f t="shared" si="114"/>
        <v>0.94065543000000018</v>
      </c>
      <c r="AB109" s="19">
        <f t="shared" si="114"/>
        <v>0.94065543000000018</v>
      </c>
      <c r="AC109" s="19">
        <f t="shared" si="114"/>
        <v>0.94065543000000018</v>
      </c>
      <c r="AD109" s="19">
        <f t="shared" si="114"/>
        <v>0.94065543000000018</v>
      </c>
      <c r="AE109" s="19">
        <f t="shared" si="114"/>
        <v>0.94065543000000018</v>
      </c>
      <c r="AF109" s="19">
        <f t="shared" si="114"/>
        <v>0.94065543000000018</v>
      </c>
      <c r="AG109" s="19">
        <f t="shared" si="114"/>
        <v>0.94065543000000018</v>
      </c>
      <c r="AH109" s="19">
        <f t="shared" si="114"/>
        <v>0.94065543000000018</v>
      </c>
      <c r="AI109" s="19">
        <f t="shared" si="114"/>
        <v>0.94065543000000018</v>
      </c>
      <c r="AJ109" s="19">
        <f t="shared" si="114"/>
        <v>0.94065543000000018</v>
      </c>
      <c r="AK109" s="19">
        <f t="shared" si="114"/>
        <v>0.94065543000000018</v>
      </c>
    </row>
    <row r="110" spans="1:37" x14ac:dyDescent="0.25">
      <c r="A110" s="7" t="s">
        <v>163</v>
      </c>
      <c r="B110" s="7"/>
      <c r="C110" s="7"/>
      <c r="D110" s="7"/>
      <c r="E110" s="19">
        <v>0.96063610500000007</v>
      </c>
      <c r="F110" s="19">
        <v>0.95122491750000004</v>
      </c>
      <c r="G110" s="19">
        <v>0.9152307449999999</v>
      </c>
      <c r="H110" s="19">
        <v>0.87923657249999965</v>
      </c>
      <c r="I110" s="19">
        <v>0.84324239999999984</v>
      </c>
      <c r="J110" s="19">
        <v>0.8072482274999998</v>
      </c>
      <c r="K110" s="19">
        <v>0.77125405499999977</v>
      </c>
      <c r="L110" s="19">
        <v>0.73525988249999985</v>
      </c>
      <c r="M110" s="19">
        <v>0.69926571000000004</v>
      </c>
      <c r="N110" s="19">
        <v>0.66327153750000012</v>
      </c>
      <c r="O110" s="19">
        <v>0.62727736499999998</v>
      </c>
      <c r="P110" s="19">
        <v>0.59128319250000017</v>
      </c>
      <c r="Q110" s="19">
        <v>0.55528902000000024</v>
      </c>
      <c r="R110" s="19">
        <f t="shared" si="113"/>
        <v>0.55528902000000024</v>
      </c>
      <c r="S110" s="19">
        <f t="shared" ref="S110:AG110" si="115">R110</f>
        <v>0.55528902000000024</v>
      </c>
      <c r="T110" s="19">
        <f t="shared" si="115"/>
        <v>0.55528902000000024</v>
      </c>
      <c r="U110" s="19">
        <f t="shared" si="115"/>
        <v>0.55528902000000024</v>
      </c>
      <c r="V110" s="19">
        <f t="shared" si="115"/>
        <v>0.55528902000000024</v>
      </c>
      <c r="W110" s="19">
        <f t="shared" si="115"/>
        <v>0.55528902000000024</v>
      </c>
      <c r="X110" s="19">
        <f t="shared" si="115"/>
        <v>0.55528902000000024</v>
      </c>
      <c r="Y110" s="19">
        <f t="shared" si="115"/>
        <v>0.55528902000000024</v>
      </c>
      <c r="Z110" s="19">
        <f t="shared" si="115"/>
        <v>0.55528902000000024</v>
      </c>
      <c r="AA110" s="19">
        <f t="shared" si="115"/>
        <v>0.55528902000000024</v>
      </c>
      <c r="AB110" s="19">
        <f t="shared" si="115"/>
        <v>0.55528902000000024</v>
      </c>
      <c r="AC110" s="19">
        <f t="shared" si="115"/>
        <v>0.55528902000000024</v>
      </c>
      <c r="AD110" s="19">
        <f t="shared" si="115"/>
        <v>0.55528902000000024</v>
      </c>
      <c r="AE110" s="19">
        <f t="shared" si="115"/>
        <v>0.55528902000000024</v>
      </c>
      <c r="AF110" s="19">
        <f t="shared" si="115"/>
        <v>0.55528902000000024</v>
      </c>
      <c r="AG110" s="19">
        <f t="shared" si="115"/>
        <v>0.55528902000000024</v>
      </c>
      <c r="AH110" s="19">
        <f t="shared" si="114"/>
        <v>0.55528902000000024</v>
      </c>
      <c r="AI110" s="19">
        <f t="shared" si="114"/>
        <v>0.55528902000000024</v>
      </c>
      <c r="AJ110" s="19">
        <f t="shared" si="114"/>
        <v>0.55528902000000024</v>
      </c>
      <c r="AK110" s="19">
        <f t="shared" si="114"/>
        <v>0.55528902000000024</v>
      </c>
    </row>
    <row r="111" spans="1:37" x14ac:dyDescent="0.25">
      <c r="A111" s="7" t="s">
        <v>164</v>
      </c>
      <c r="B111" s="7"/>
      <c r="C111" s="19"/>
      <c r="D111" s="19"/>
      <c r="E111" s="19">
        <v>1.5566972849999998</v>
      </c>
      <c r="F111" s="19">
        <v>1.5472860974999998</v>
      </c>
      <c r="G111" s="19">
        <v>1.5112919249999996</v>
      </c>
      <c r="H111" s="19">
        <v>1.4752977524999995</v>
      </c>
      <c r="I111" s="19">
        <v>1.4393035799999998</v>
      </c>
      <c r="J111" s="19">
        <v>1.4033094074999999</v>
      </c>
      <c r="K111" s="19">
        <v>1.3673152349999997</v>
      </c>
      <c r="L111" s="19">
        <v>1.3313210624999998</v>
      </c>
      <c r="M111" s="19">
        <v>1.2953268899999999</v>
      </c>
      <c r="N111" s="19">
        <v>1.2593327175000002</v>
      </c>
      <c r="O111" s="19">
        <v>1.2233385450000001</v>
      </c>
      <c r="P111" s="19">
        <v>1.1873443725000001</v>
      </c>
      <c r="Q111" s="19">
        <v>1.1513502</v>
      </c>
      <c r="R111" s="19">
        <f t="shared" si="113"/>
        <v>1.1513502</v>
      </c>
      <c r="S111" s="19">
        <f t="shared" si="114"/>
        <v>1.1513502</v>
      </c>
      <c r="T111" s="19">
        <f t="shared" si="114"/>
        <v>1.1513502</v>
      </c>
      <c r="U111" s="19">
        <f t="shared" si="114"/>
        <v>1.1513502</v>
      </c>
      <c r="V111" s="19">
        <f t="shared" si="114"/>
        <v>1.1513502</v>
      </c>
      <c r="W111" s="19">
        <f t="shared" si="114"/>
        <v>1.1513502</v>
      </c>
      <c r="X111" s="19">
        <f t="shared" si="114"/>
        <v>1.1513502</v>
      </c>
      <c r="Y111" s="19">
        <f t="shared" si="114"/>
        <v>1.1513502</v>
      </c>
      <c r="Z111" s="19">
        <f t="shared" si="114"/>
        <v>1.1513502</v>
      </c>
      <c r="AA111" s="19">
        <f t="shared" si="114"/>
        <v>1.1513502</v>
      </c>
      <c r="AB111" s="19">
        <f t="shared" si="114"/>
        <v>1.1513502</v>
      </c>
      <c r="AC111" s="19">
        <f t="shared" si="114"/>
        <v>1.1513502</v>
      </c>
      <c r="AD111" s="19">
        <f t="shared" si="114"/>
        <v>1.1513502</v>
      </c>
      <c r="AE111" s="19">
        <f t="shared" si="114"/>
        <v>1.1513502</v>
      </c>
      <c r="AF111" s="19">
        <f t="shared" si="114"/>
        <v>1.1513502</v>
      </c>
      <c r="AG111" s="19">
        <f t="shared" si="114"/>
        <v>1.1513502</v>
      </c>
      <c r="AH111" s="19">
        <f t="shared" si="114"/>
        <v>1.1513502</v>
      </c>
      <c r="AI111" s="19">
        <f t="shared" si="114"/>
        <v>1.1513502</v>
      </c>
      <c r="AJ111" s="19">
        <f t="shared" si="114"/>
        <v>1.1513502</v>
      </c>
      <c r="AK111" s="19">
        <f t="shared" si="114"/>
        <v>1.1513502</v>
      </c>
    </row>
    <row r="112" spans="1:37" x14ac:dyDescent="0.25">
      <c r="A112" s="7" t="s">
        <v>165</v>
      </c>
      <c r="B112" s="7"/>
      <c r="C112" s="19"/>
      <c r="D112" s="19"/>
      <c r="E112" s="19">
        <v>1.213724655</v>
      </c>
      <c r="F112" s="19">
        <v>1.2043134675</v>
      </c>
      <c r="G112" s="19">
        <v>1.1683192949999999</v>
      </c>
      <c r="H112" s="19">
        <v>1.1323251224999995</v>
      </c>
      <c r="I112" s="19">
        <v>1.0963309499999998</v>
      </c>
      <c r="J112" s="19">
        <v>1.0603367774999999</v>
      </c>
      <c r="K112" s="19">
        <v>1.0243426049999997</v>
      </c>
      <c r="L112" s="19">
        <v>0.98834843249999982</v>
      </c>
      <c r="M112" s="19">
        <v>0.95235426000000001</v>
      </c>
      <c r="N112" s="19">
        <v>0.91636008749999998</v>
      </c>
      <c r="O112" s="19">
        <v>0.88036591500000005</v>
      </c>
      <c r="P112" s="19">
        <v>0.84437174250000013</v>
      </c>
      <c r="Q112" s="19">
        <v>0.80837757000000032</v>
      </c>
      <c r="R112" s="19">
        <f t="shared" si="113"/>
        <v>0.80837757000000032</v>
      </c>
      <c r="S112" s="19">
        <f t="shared" si="114"/>
        <v>0.80837757000000032</v>
      </c>
      <c r="T112" s="19">
        <f t="shared" si="114"/>
        <v>0.80837757000000032</v>
      </c>
      <c r="U112" s="19">
        <f t="shared" si="114"/>
        <v>0.80837757000000032</v>
      </c>
      <c r="V112" s="19">
        <f t="shared" si="114"/>
        <v>0.80837757000000032</v>
      </c>
      <c r="W112" s="19">
        <f t="shared" si="114"/>
        <v>0.80837757000000032</v>
      </c>
      <c r="X112" s="19">
        <f t="shared" si="114"/>
        <v>0.80837757000000032</v>
      </c>
      <c r="Y112" s="19">
        <f t="shared" si="114"/>
        <v>0.80837757000000032</v>
      </c>
      <c r="Z112" s="19">
        <f t="shared" si="114"/>
        <v>0.80837757000000032</v>
      </c>
      <c r="AA112" s="19">
        <f t="shared" si="114"/>
        <v>0.80837757000000032</v>
      </c>
      <c r="AB112" s="19">
        <f t="shared" si="114"/>
        <v>0.80837757000000032</v>
      </c>
      <c r="AC112" s="19">
        <f t="shared" si="114"/>
        <v>0.80837757000000032</v>
      </c>
      <c r="AD112" s="19">
        <f t="shared" si="114"/>
        <v>0.80837757000000032</v>
      </c>
      <c r="AE112" s="19">
        <f t="shared" si="114"/>
        <v>0.80837757000000032</v>
      </c>
      <c r="AF112" s="19">
        <f t="shared" si="114"/>
        <v>0.80837757000000032</v>
      </c>
      <c r="AG112" s="19">
        <f t="shared" si="114"/>
        <v>0.80837757000000032</v>
      </c>
      <c r="AH112" s="19">
        <f t="shared" si="114"/>
        <v>0.80837757000000032</v>
      </c>
      <c r="AI112" s="19">
        <f t="shared" si="114"/>
        <v>0.80837757000000032</v>
      </c>
      <c r="AJ112" s="19">
        <f t="shared" si="114"/>
        <v>0.80837757000000032</v>
      </c>
      <c r="AK112" s="19">
        <f t="shared" si="114"/>
        <v>0.80837757000000032</v>
      </c>
    </row>
    <row r="113" spans="1:37" x14ac:dyDescent="0.25">
      <c r="A113" s="7" t="s">
        <v>166</v>
      </c>
      <c r="B113" s="7"/>
      <c r="C113" s="19"/>
      <c r="D113" s="19"/>
      <c r="E113" s="19">
        <v>0.80287564499999986</v>
      </c>
      <c r="F113" s="19">
        <v>0.79346445749999994</v>
      </c>
      <c r="G113" s="19">
        <v>0.75747028499999969</v>
      </c>
      <c r="H113" s="19">
        <v>0.72147611249999954</v>
      </c>
      <c r="I113" s="19">
        <v>0.68548193999999973</v>
      </c>
      <c r="J113" s="19">
        <v>0.64948776749999981</v>
      </c>
      <c r="K113" s="19">
        <v>0.61349359499999967</v>
      </c>
      <c r="L113" s="19">
        <v>0.57749942249999986</v>
      </c>
      <c r="M113" s="19">
        <v>0.54150524999999994</v>
      </c>
      <c r="N113" s="19">
        <v>0.50551107750000024</v>
      </c>
      <c r="O113" s="19">
        <v>0.46951690499999998</v>
      </c>
      <c r="P113" s="19">
        <v>0.43352273250000012</v>
      </c>
      <c r="Q113" s="19">
        <v>0.39752856000000025</v>
      </c>
      <c r="R113" s="19">
        <f t="shared" si="113"/>
        <v>0.39752856000000025</v>
      </c>
      <c r="S113" s="19">
        <f t="shared" si="114"/>
        <v>0.39752856000000025</v>
      </c>
      <c r="T113" s="19">
        <f t="shared" si="114"/>
        <v>0.39752856000000025</v>
      </c>
      <c r="U113" s="19">
        <f t="shared" si="114"/>
        <v>0.39752856000000025</v>
      </c>
      <c r="V113" s="19">
        <f t="shared" si="114"/>
        <v>0.39752856000000025</v>
      </c>
      <c r="W113" s="19">
        <f t="shared" si="114"/>
        <v>0.39752856000000025</v>
      </c>
      <c r="X113" s="19">
        <f t="shared" si="114"/>
        <v>0.39752856000000025</v>
      </c>
      <c r="Y113" s="19">
        <f t="shared" si="114"/>
        <v>0.39752856000000025</v>
      </c>
      <c r="Z113" s="19">
        <f t="shared" si="114"/>
        <v>0.39752856000000025</v>
      </c>
      <c r="AA113" s="19">
        <f t="shared" si="114"/>
        <v>0.39752856000000025</v>
      </c>
      <c r="AB113" s="19">
        <f t="shared" si="114"/>
        <v>0.39752856000000025</v>
      </c>
      <c r="AC113" s="19">
        <f t="shared" si="114"/>
        <v>0.39752856000000025</v>
      </c>
      <c r="AD113" s="19">
        <f t="shared" si="114"/>
        <v>0.39752856000000025</v>
      </c>
      <c r="AE113" s="19">
        <f t="shared" si="114"/>
        <v>0.39752856000000025</v>
      </c>
      <c r="AF113" s="19">
        <f t="shared" si="114"/>
        <v>0.39752856000000025</v>
      </c>
      <c r="AG113" s="19">
        <f t="shared" si="114"/>
        <v>0.39752856000000025</v>
      </c>
      <c r="AH113" s="19">
        <f t="shared" si="114"/>
        <v>0.39752856000000025</v>
      </c>
      <c r="AI113" s="19">
        <f t="shared" si="114"/>
        <v>0.39752856000000025</v>
      </c>
      <c r="AJ113" s="19">
        <f t="shared" si="114"/>
        <v>0.39752856000000025</v>
      </c>
      <c r="AK113" s="19">
        <f t="shared" si="114"/>
        <v>0.39752856000000025</v>
      </c>
    </row>
    <row r="114" spans="1:37" x14ac:dyDescent="0.25">
      <c r="A114" s="7" t="s">
        <v>167</v>
      </c>
      <c r="B114" s="7"/>
      <c r="C114" s="7"/>
      <c r="D114" s="7"/>
      <c r="E114" s="19">
        <v>2.5872367949999999</v>
      </c>
      <c r="F114" s="19">
        <v>2.5778256074999999</v>
      </c>
      <c r="G114" s="19">
        <v>2.5418314349999998</v>
      </c>
      <c r="H114" s="19">
        <v>2.5058372624999996</v>
      </c>
      <c r="I114" s="19">
        <v>2.4698430899999999</v>
      </c>
      <c r="J114" s="19">
        <v>2.4338489174999998</v>
      </c>
      <c r="K114" s="19">
        <v>2.3978547449999996</v>
      </c>
      <c r="L114" s="19">
        <v>2.3618605724999999</v>
      </c>
      <c r="M114" s="19">
        <v>2.3258664000000002</v>
      </c>
      <c r="N114" s="19">
        <v>2.2898722275000001</v>
      </c>
      <c r="O114" s="19">
        <v>2.2538780549999999</v>
      </c>
      <c r="P114" s="19">
        <v>2.2178838825000002</v>
      </c>
      <c r="Q114" s="19">
        <v>2.1818897100000005</v>
      </c>
      <c r="R114" s="19">
        <f t="shared" si="113"/>
        <v>2.1818897100000005</v>
      </c>
      <c r="S114" s="19">
        <f t="shared" si="114"/>
        <v>2.1818897100000005</v>
      </c>
      <c r="T114" s="19">
        <f t="shared" si="114"/>
        <v>2.1818897100000005</v>
      </c>
      <c r="U114" s="19">
        <f t="shared" si="114"/>
        <v>2.1818897100000005</v>
      </c>
      <c r="V114" s="19">
        <f t="shared" si="114"/>
        <v>2.1818897100000005</v>
      </c>
      <c r="W114" s="19">
        <f t="shared" si="114"/>
        <v>2.1818897100000005</v>
      </c>
      <c r="X114" s="19">
        <f t="shared" si="114"/>
        <v>2.1818897100000005</v>
      </c>
      <c r="Y114" s="19">
        <f t="shared" si="114"/>
        <v>2.1818897100000005</v>
      </c>
      <c r="Z114" s="19">
        <f t="shared" si="114"/>
        <v>2.1818897100000005</v>
      </c>
      <c r="AA114" s="19">
        <f t="shared" si="114"/>
        <v>2.1818897100000005</v>
      </c>
      <c r="AB114" s="19">
        <f t="shared" si="114"/>
        <v>2.1818897100000005</v>
      </c>
      <c r="AC114" s="19">
        <f t="shared" si="114"/>
        <v>2.1818897100000005</v>
      </c>
      <c r="AD114" s="19">
        <f t="shared" si="114"/>
        <v>2.1818897100000005</v>
      </c>
      <c r="AE114" s="19">
        <f t="shared" si="114"/>
        <v>2.1818897100000005</v>
      </c>
      <c r="AF114" s="19">
        <f t="shared" si="114"/>
        <v>2.1818897100000005</v>
      </c>
      <c r="AG114" s="19">
        <f t="shared" si="114"/>
        <v>2.1818897100000005</v>
      </c>
      <c r="AH114" s="19">
        <f t="shared" si="114"/>
        <v>2.1818897100000005</v>
      </c>
      <c r="AI114" s="19">
        <f t="shared" si="114"/>
        <v>2.1818897100000005</v>
      </c>
      <c r="AJ114" s="19">
        <f t="shared" si="114"/>
        <v>2.1818897100000005</v>
      </c>
      <c r="AK114" s="19">
        <f t="shared" si="114"/>
        <v>2.1818897100000005</v>
      </c>
    </row>
    <row r="115" spans="1:37" x14ac:dyDescent="0.25">
      <c r="A115" s="7" t="s">
        <v>168</v>
      </c>
      <c r="B115" s="7"/>
      <c r="C115" s="7"/>
      <c r="D115" s="7"/>
      <c r="E115" s="19">
        <v>0.69584872499999961</v>
      </c>
      <c r="F115" s="19">
        <v>0.68869622249999962</v>
      </c>
      <c r="G115" s="19">
        <v>0.66134065139999976</v>
      </c>
      <c r="H115" s="19">
        <v>0.63398508029999967</v>
      </c>
      <c r="I115" s="19">
        <v>0.60662950919999992</v>
      </c>
      <c r="J115" s="19">
        <v>0.57927393809999994</v>
      </c>
      <c r="K115" s="19">
        <v>0.55191836699999974</v>
      </c>
      <c r="L115" s="19">
        <v>0.52456279589999966</v>
      </c>
      <c r="M115" s="19">
        <v>0.4972072247999999</v>
      </c>
      <c r="N115" s="19">
        <v>0.46985165370000009</v>
      </c>
      <c r="O115" s="19">
        <v>0.4424960825999999</v>
      </c>
      <c r="P115" s="19">
        <v>0.41514051150000003</v>
      </c>
      <c r="Q115" s="19">
        <v>0.38778494039999994</v>
      </c>
      <c r="R115" s="19">
        <f t="shared" si="113"/>
        <v>0.38778494039999994</v>
      </c>
      <c r="S115" s="19">
        <f t="shared" si="114"/>
        <v>0.38778494039999994</v>
      </c>
      <c r="T115" s="19">
        <f t="shared" si="114"/>
        <v>0.38778494039999994</v>
      </c>
      <c r="U115" s="19">
        <f t="shared" si="114"/>
        <v>0.38778494039999994</v>
      </c>
      <c r="V115" s="19">
        <f t="shared" si="114"/>
        <v>0.38778494039999994</v>
      </c>
      <c r="W115" s="19">
        <f t="shared" si="114"/>
        <v>0.38778494039999994</v>
      </c>
      <c r="X115" s="19">
        <f t="shared" si="114"/>
        <v>0.38778494039999994</v>
      </c>
      <c r="Y115" s="19">
        <f t="shared" si="114"/>
        <v>0.38778494039999994</v>
      </c>
      <c r="Z115" s="19">
        <f t="shared" si="114"/>
        <v>0.38778494039999994</v>
      </c>
      <c r="AA115" s="19">
        <f t="shared" si="114"/>
        <v>0.38778494039999994</v>
      </c>
      <c r="AB115" s="19">
        <f t="shared" si="114"/>
        <v>0.38778494039999994</v>
      </c>
      <c r="AC115" s="19">
        <f t="shared" si="114"/>
        <v>0.38778494039999994</v>
      </c>
      <c r="AD115" s="19">
        <f t="shared" si="114"/>
        <v>0.38778494039999994</v>
      </c>
      <c r="AE115" s="19">
        <f t="shared" si="114"/>
        <v>0.38778494039999994</v>
      </c>
      <c r="AF115" s="19">
        <f t="shared" si="114"/>
        <v>0.38778494039999994</v>
      </c>
      <c r="AG115" s="19">
        <f t="shared" si="114"/>
        <v>0.38778494039999994</v>
      </c>
      <c r="AH115" s="19">
        <f t="shared" si="114"/>
        <v>0.38778494039999994</v>
      </c>
      <c r="AI115" s="19">
        <f t="shared" si="114"/>
        <v>0.38778494039999994</v>
      </c>
      <c r="AJ115" s="19">
        <f t="shared" si="114"/>
        <v>0.38778494039999994</v>
      </c>
      <c r="AK115" s="19">
        <f t="shared" si="114"/>
        <v>0.38778494039999994</v>
      </c>
    </row>
    <row r="116" spans="1:37" x14ac:dyDescent="0.25">
      <c r="A116" s="7" t="s">
        <v>169</v>
      </c>
      <c r="B116" s="7"/>
      <c r="C116" s="7"/>
      <c r="D116" s="7"/>
      <c r="E116" s="19">
        <v>0.31048231499999979</v>
      </c>
      <c r="F116" s="19">
        <v>0.30332981249999968</v>
      </c>
      <c r="G116" s="19">
        <v>0.27597424139999988</v>
      </c>
      <c r="H116" s="19">
        <v>0.24861867029999971</v>
      </c>
      <c r="I116" s="19">
        <v>0.22126309919999987</v>
      </c>
      <c r="J116" s="19">
        <v>0.19390752810000003</v>
      </c>
      <c r="K116" s="19">
        <v>0.16655195699999989</v>
      </c>
      <c r="L116" s="19">
        <v>0.13919638589999972</v>
      </c>
      <c r="M116" s="19">
        <v>0.11184081479999992</v>
      </c>
      <c r="N116" s="19">
        <v>8.4485243700000087E-2</v>
      </c>
      <c r="O116" s="19">
        <v>5.7129672599999945E-2</v>
      </c>
      <c r="P116" s="19">
        <v>2.9774101500000118E-2</v>
      </c>
      <c r="Q116" s="19">
        <v>2.4185303999999601E-3</v>
      </c>
      <c r="R116" s="19">
        <f t="shared" si="113"/>
        <v>2.4185303999999601E-3</v>
      </c>
      <c r="S116" s="19">
        <f t="shared" si="114"/>
        <v>2.4185303999999601E-3</v>
      </c>
      <c r="T116" s="19">
        <f t="shared" si="114"/>
        <v>2.4185303999999601E-3</v>
      </c>
      <c r="U116" s="19">
        <f t="shared" si="114"/>
        <v>2.4185303999999601E-3</v>
      </c>
      <c r="V116" s="19">
        <f t="shared" si="114"/>
        <v>2.4185303999999601E-3</v>
      </c>
      <c r="W116" s="19">
        <f t="shared" si="114"/>
        <v>2.4185303999999601E-3</v>
      </c>
      <c r="X116" s="19">
        <f t="shared" si="114"/>
        <v>2.4185303999999601E-3</v>
      </c>
      <c r="Y116" s="19">
        <f t="shared" si="114"/>
        <v>2.4185303999999601E-3</v>
      </c>
      <c r="Z116" s="19">
        <f t="shared" si="114"/>
        <v>2.4185303999999601E-3</v>
      </c>
      <c r="AA116" s="19">
        <f t="shared" si="114"/>
        <v>2.4185303999999601E-3</v>
      </c>
      <c r="AB116" s="19">
        <f t="shared" si="114"/>
        <v>2.4185303999999601E-3</v>
      </c>
      <c r="AC116" s="19">
        <f t="shared" si="114"/>
        <v>2.4185303999999601E-3</v>
      </c>
      <c r="AD116" s="19">
        <f t="shared" si="114"/>
        <v>2.4185303999999601E-3</v>
      </c>
      <c r="AE116" s="19">
        <f t="shared" si="114"/>
        <v>2.4185303999999601E-3</v>
      </c>
      <c r="AF116" s="19">
        <f t="shared" si="114"/>
        <v>2.4185303999999601E-3</v>
      </c>
      <c r="AG116" s="19">
        <f t="shared" si="114"/>
        <v>2.4185303999999601E-3</v>
      </c>
      <c r="AH116" s="19">
        <f t="shared" si="114"/>
        <v>2.4185303999999601E-3</v>
      </c>
      <c r="AI116" s="19">
        <f t="shared" si="114"/>
        <v>2.4185303999999601E-3</v>
      </c>
      <c r="AJ116" s="19">
        <f t="shared" si="114"/>
        <v>2.4185303999999601E-3</v>
      </c>
      <c r="AK116" s="19">
        <f t="shared" si="114"/>
        <v>2.4185303999999601E-3</v>
      </c>
    </row>
    <row r="117" spans="1:37" x14ac:dyDescent="0.25">
      <c r="A117" s="7" t="s">
        <v>170</v>
      </c>
      <c r="B117" s="7"/>
      <c r="C117" s="7"/>
      <c r="D117" s="7"/>
      <c r="E117" s="19">
        <v>0.90654349499999964</v>
      </c>
      <c r="F117" s="19">
        <v>0.89939099249999954</v>
      </c>
      <c r="G117" s="19">
        <v>0.87203542139999979</v>
      </c>
      <c r="H117" s="19">
        <v>0.84467985029999948</v>
      </c>
      <c r="I117" s="19">
        <v>0.81732427919999984</v>
      </c>
      <c r="J117" s="19">
        <v>0.78996870809999997</v>
      </c>
      <c r="K117" s="19">
        <v>0.76261313699999989</v>
      </c>
      <c r="L117" s="19">
        <v>0.73525756589999958</v>
      </c>
      <c r="M117" s="19">
        <v>0.70790199479999982</v>
      </c>
      <c r="N117" s="19">
        <v>0.68054642370000007</v>
      </c>
      <c r="O117" s="19">
        <v>0.65319085259999987</v>
      </c>
      <c r="P117" s="19">
        <v>0.62583528150000001</v>
      </c>
      <c r="Q117" s="19">
        <v>0.59847971039999981</v>
      </c>
      <c r="R117" s="19">
        <f t="shared" si="113"/>
        <v>0.59847971039999981</v>
      </c>
      <c r="S117" s="19">
        <f t="shared" si="114"/>
        <v>0.59847971039999981</v>
      </c>
      <c r="T117" s="19">
        <f t="shared" si="114"/>
        <v>0.59847971039999981</v>
      </c>
      <c r="U117" s="19">
        <f t="shared" si="114"/>
        <v>0.59847971039999981</v>
      </c>
      <c r="V117" s="19">
        <f t="shared" si="114"/>
        <v>0.59847971039999981</v>
      </c>
      <c r="W117" s="19">
        <f t="shared" si="114"/>
        <v>0.59847971039999981</v>
      </c>
      <c r="X117" s="19">
        <f t="shared" si="114"/>
        <v>0.59847971039999981</v>
      </c>
      <c r="Y117" s="19">
        <f t="shared" si="114"/>
        <v>0.59847971039999981</v>
      </c>
      <c r="Z117" s="19">
        <f t="shared" si="114"/>
        <v>0.59847971039999981</v>
      </c>
      <c r="AA117" s="19">
        <f t="shared" si="114"/>
        <v>0.59847971039999981</v>
      </c>
      <c r="AB117" s="19">
        <f t="shared" si="114"/>
        <v>0.59847971039999981</v>
      </c>
      <c r="AC117" s="19">
        <f t="shared" si="114"/>
        <v>0.59847971039999981</v>
      </c>
      <c r="AD117" s="19">
        <f t="shared" si="114"/>
        <v>0.59847971039999981</v>
      </c>
      <c r="AE117" s="19">
        <f t="shared" si="114"/>
        <v>0.59847971039999981</v>
      </c>
      <c r="AF117" s="19">
        <f t="shared" si="114"/>
        <v>0.59847971039999981</v>
      </c>
      <c r="AG117" s="19">
        <f t="shared" si="114"/>
        <v>0.59847971039999981</v>
      </c>
      <c r="AH117" s="19">
        <f t="shared" si="114"/>
        <v>0.59847971039999981</v>
      </c>
      <c r="AI117" s="19">
        <f t="shared" si="114"/>
        <v>0.59847971039999981</v>
      </c>
      <c r="AJ117" s="19">
        <f t="shared" si="114"/>
        <v>0.59847971039999981</v>
      </c>
      <c r="AK117" s="19">
        <f t="shared" si="114"/>
        <v>0.59847971039999981</v>
      </c>
    </row>
    <row r="118" spans="1:37" x14ac:dyDescent="0.25">
      <c r="A118" s="7" t="s">
        <v>171</v>
      </c>
      <c r="B118" s="7"/>
      <c r="C118" s="19"/>
      <c r="D118" s="19"/>
      <c r="E118" s="19">
        <v>0.56357086499999964</v>
      </c>
      <c r="F118" s="19">
        <v>0.55641836249999965</v>
      </c>
      <c r="G118" s="19">
        <v>0.52906279139999979</v>
      </c>
      <c r="H118" s="19">
        <v>0.50170722029999959</v>
      </c>
      <c r="I118" s="19">
        <v>0.47435164919999978</v>
      </c>
      <c r="J118" s="19">
        <v>0.44699607809999997</v>
      </c>
      <c r="K118" s="19">
        <v>0.41964050699999983</v>
      </c>
      <c r="L118" s="19">
        <v>0.39228493589999969</v>
      </c>
      <c r="M118" s="19">
        <v>0.36492936479999982</v>
      </c>
      <c r="N118" s="19">
        <v>0.33757379370000001</v>
      </c>
      <c r="O118" s="19">
        <v>0.31021822259999987</v>
      </c>
      <c r="P118" s="19">
        <v>0.28286265150000001</v>
      </c>
      <c r="Q118" s="19">
        <v>0.25550708039999986</v>
      </c>
      <c r="R118" s="19">
        <f t="shared" si="113"/>
        <v>0.25550708039999986</v>
      </c>
      <c r="S118" s="19">
        <f t="shared" si="114"/>
        <v>0.25550708039999986</v>
      </c>
      <c r="T118" s="19">
        <f t="shared" si="114"/>
        <v>0.25550708039999986</v>
      </c>
      <c r="U118" s="19">
        <f t="shared" si="114"/>
        <v>0.25550708039999986</v>
      </c>
      <c r="V118" s="19">
        <f t="shared" si="114"/>
        <v>0.25550708039999986</v>
      </c>
      <c r="W118" s="19">
        <f t="shared" si="114"/>
        <v>0.25550708039999986</v>
      </c>
      <c r="X118" s="19">
        <f t="shared" si="114"/>
        <v>0.25550708039999986</v>
      </c>
      <c r="Y118" s="19">
        <f t="shared" si="114"/>
        <v>0.25550708039999986</v>
      </c>
      <c r="Z118" s="19">
        <f t="shared" si="114"/>
        <v>0.25550708039999986</v>
      </c>
      <c r="AA118" s="19">
        <f t="shared" si="114"/>
        <v>0.25550708039999986</v>
      </c>
      <c r="AB118" s="19">
        <f t="shared" si="114"/>
        <v>0.25550708039999986</v>
      </c>
      <c r="AC118" s="19">
        <f t="shared" si="114"/>
        <v>0.25550708039999986</v>
      </c>
      <c r="AD118" s="19">
        <f t="shared" si="114"/>
        <v>0.25550708039999986</v>
      </c>
      <c r="AE118" s="19">
        <f t="shared" si="114"/>
        <v>0.25550708039999986</v>
      </c>
      <c r="AF118" s="19">
        <f t="shared" si="114"/>
        <v>0.25550708039999986</v>
      </c>
      <c r="AG118" s="19">
        <f t="shared" si="114"/>
        <v>0.25550708039999986</v>
      </c>
      <c r="AH118" s="19">
        <f t="shared" si="114"/>
        <v>0.25550708039999986</v>
      </c>
      <c r="AI118" s="19">
        <f t="shared" si="114"/>
        <v>0.25550708039999986</v>
      </c>
      <c r="AJ118" s="19">
        <f t="shared" si="114"/>
        <v>0.25550708039999986</v>
      </c>
      <c r="AK118" s="19">
        <f t="shared" si="114"/>
        <v>0.25550708039999986</v>
      </c>
    </row>
    <row r="119" spans="1:37" x14ac:dyDescent="0.25">
      <c r="A119" s="7" t="s">
        <v>172</v>
      </c>
      <c r="B119" s="7"/>
      <c r="C119" s="19"/>
      <c r="D119" s="19"/>
      <c r="E119" s="19">
        <v>0.15388015499999963</v>
      </c>
      <c r="F119" s="19">
        <v>0.14672765249999956</v>
      </c>
      <c r="G119" s="19">
        <v>0.11937208139999973</v>
      </c>
      <c r="H119" s="19">
        <v>9.2016510299999577E-2</v>
      </c>
      <c r="I119" s="19">
        <v>6.4660939199999753E-2</v>
      </c>
      <c r="J119" s="19">
        <v>3.7305368099999923E-2</v>
      </c>
      <c r="K119" s="19">
        <v>9.9497969999997743E-3</v>
      </c>
      <c r="L119" s="19">
        <v>-1.7405774100000382E-2</v>
      </c>
      <c r="M119" s="19">
        <v>-4.4761345200000205E-2</v>
      </c>
      <c r="N119" s="19">
        <v>-7.2116916300000028E-2</v>
      </c>
      <c r="O119" s="19">
        <v>-9.9472487400000184E-2</v>
      </c>
      <c r="P119" s="19">
        <v>-0.12682805850000001</v>
      </c>
      <c r="Q119" s="19">
        <v>-0.15418362960000015</v>
      </c>
      <c r="R119" s="19">
        <f t="shared" si="113"/>
        <v>-0.15418362960000015</v>
      </c>
      <c r="S119" s="19">
        <f t="shared" si="114"/>
        <v>-0.15418362960000015</v>
      </c>
      <c r="T119" s="19">
        <f t="shared" si="114"/>
        <v>-0.15418362960000015</v>
      </c>
      <c r="U119" s="19">
        <f t="shared" si="114"/>
        <v>-0.15418362960000015</v>
      </c>
      <c r="V119" s="19">
        <f t="shared" si="114"/>
        <v>-0.15418362960000015</v>
      </c>
      <c r="W119" s="19">
        <f t="shared" si="114"/>
        <v>-0.15418362960000015</v>
      </c>
      <c r="X119" s="19">
        <f t="shared" si="114"/>
        <v>-0.15418362960000015</v>
      </c>
      <c r="Y119" s="19">
        <f t="shared" si="114"/>
        <v>-0.15418362960000015</v>
      </c>
      <c r="Z119" s="19">
        <f t="shared" si="114"/>
        <v>-0.15418362960000015</v>
      </c>
      <c r="AA119" s="19">
        <f t="shared" si="114"/>
        <v>-0.15418362960000015</v>
      </c>
      <c r="AB119" s="19">
        <f t="shared" si="114"/>
        <v>-0.15418362960000015</v>
      </c>
      <c r="AC119" s="19">
        <f t="shared" si="114"/>
        <v>-0.15418362960000015</v>
      </c>
      <c r="AD119" s="19">
        <f t="shared" si="114"/>
        <v>-0.15418362960000015</v>
      </c>
      <c r="AE119" s="19">
        <f t="shared" si="114"/>
        <v>-0.15418362960000015</v>
      </c>
      <c r="AF119" s="19">
        <f t="shared" si="114"/>
        <v>-0.15418362960000015</v>
      </c>
      <c r="AG119" s="19">
        <f t="shared" si="114"/>
        <v>-0.15418362960000015</v>
      </c>
      <c r="AH119" s="19">
        <f t="shared" si="114"/>
        <v>-0.15418362960000015</v>
      </c>
      <c r="AI119" s="19">
        <f t="shared" si="114"/>
        <v>-0.15418362960000015</v>
      </c>
      <c r="AJ119" s="19">
        <f t="shared" si="114"/>
        <v>-0.15418362960000015</v>
      </c>
      <c r="AK119" s="19">
        <f t="shared" si="114"/>
        <v>-0.15418362960000015</v>
      </c>
    </row>
    <row r="120" spans="1:37" x14ac:dyDescent="0.25">
      <c r="A120" s="7" t="s">
        <v>173</v>
      </c>
      <c r="B120" s="7"/>
      <c r="C120" s="19"/>
      <c r="D120" s="19"/>
      <c r="E120" s="19">
        <v>1.9370830049999999</v>
      </c>
      <c r="F120" s="19">
        <v>1.9299305025</v>
      </c>
      <c r="G120" s="19">
        <v>1.9025749313999998</v>
      </c>
      <c r="H120" s="19">
        <v>1.8752193602999998</v>
      </c>
      <c r="I120" s="19">
        <v>1.8478637892000001</v>
      </c>
      <c r="J120" s="19">
        <v>1.8205082180999999</v>
      </c>
      <c r="K120" s="19">
        <v>1.7931526470000001</v>
      </c>
      <c r="L120" s="19">
        <v>1.7657970758999999</v>
      </c>
      <c r="M120" s="19">
        <v>1.7384415048000001</v>
      </c>
      <c r="N120" s="19">
        <v>1.7110859337</v>
      </c>
      <c r="O120" s="19">
        <v>1.6837303625999998</v>
      </c>
      <c r="P120" s="19">
        <v>1.6563747915000002</v>
      </c>
      <c r="Q120" s="19">
        <v>1.6290192204</v>
      </c>
      <c r="R120" s="19">
        <f t="shared" si="113"/>
        <v>1.6290192204</v>
      </c>
      <c r="S120" s="19">
        <f t="shared" si="114"/>
        <v>1.6290192204</v>
      </c>
      <c r="T120" s="19">
        <f t="shared" si="114"/>
        <v>1.6290192204</v>
      </c>
      <c r="U120" s="19">
        <f t="shared" si="114"/>
        <v>1.6290192204</v>
      </c>
      <c r="V120" s="19">
        <f t="shared" si="114"/>
        <v>1.6290192204</v>
      </c>
      <c r="W120" s="19">
        <f t="shared" si="114"/>
        <v>1.6290192204</v>
      </c>
      <c r="X120" s="19">
        <f t="shared" si="114"/>
        <v>1.6290192204</v>
      </c>
      <c r="Y120" s="19">
        <f t="shared" si="114"/>
        <v>1.6290192204</v>
      </c>
      <c r="Z120" s="19">
        <f t="shared" si="114"/>
        <v>1.6290192204</v>
      </c>
      <c r="AA120" s="19">
        <f t="shared" si="114"/>
        <v>1.6290192204</v>
      </c>
      <c r="AB120" s="19">
        <f t="shared" si="114"/>
        <v>1.6290192204</v>
      </c>
      <c r="AC120" s="19">
        <f t="shared" si="114"/>
        <v>1.6290192204</v>
      </c>
      <c r="AD120" s="19">
        <f t="shared" si="114"/>
        <v>1.6290192204</v>
      </c>
      <c r="AE120" s="19">
        <f t="shared" si="114"/>
        <v>1.6290192204</v>
      </c>
      <c r="AF120" s="19">
        <f t="shared" si="114"/>
        <v>1.6290192204</v>
      </c>
      <c r="AG120" s="19">
        <f t="shared" si="114"/>
        <v>1.6290192204</v>
      </c>
      <c r="AH120" s="19">
        <f t="shared" si="114"/>
        <v>1.6290192204</v>
      </c>
      <c r="AI120" s="19">
        <f t="shared" si="114"/>
        <v>1.6290192204</v>
      </c>
      <c r="AJ120" s="19">
        <f t="shared" si="114"/>
        <v>1.6290192204</v>
      </c>
      <c r="AK120" s="19">
        <f t="shared" si="114"/>
        <v>1.6290192204</v>
      </c>
    </row>
    <row r="122" spans="1:37" ht="15.75" thickBot="1" x14ac:dyDescent="0.3">
      <c r="A122" s="21" t="s">
        <v>189</v>
      </c>
      <c r="B122" s="21" t="s">
        <v>50</v>
      </c>
      <c r="C122" s="21" t="s">
        <v>68</v>
      </c>
    </row>
    <row r="123" spans="1:37" x14ac:dyDescent="0.25">
      <c r="A123" s="7" t="s">
        <v>5</v>
      </c>
      <c r="B123" s="78">
        <v>5000</v>
      </c>
      <c r="C123" s="78">
        <v>20000</v>
      </c>
    </row>
    <row r="124" spans="1:37" x14ac:dyDescent="0.25">
      <c r="A124" s="7" t="s">
        <v>7</v>
      </c>
      <c r="B124" s="78">
        <v>5000</v>
      </c>
      <c r="C124" s="78">
        <v>20000</v>
      </c>
    </row>
    <row r="125" spans="1:37" x14ac:dyDescent="0.25">
      <c r="A125" s="7" t="s">
        <v>6</v>
      </c>
      <c r="B125" s="78">
        <v>50000</v>
      </c>
      <c r="C125" s="78">
        <v>55000</v>
      </c>
    </row>
    <row r="127" spans="1:37" ht="15.75" thickBot="1" x14ac:dyDescent="0.3">
      <c r="A127" s="21" t="s">
        <v>129</v>
      </c>
      <c r="B127" s="21" t="s">
        <v>23</v>
      </c>
      <c r="C127" s="21" t="s">
        <v>24</v>
      </c>
      <c r="D127" s="21" t="s">
        <v>25</v>
      </c>
      <c r="E127" s="21" t="s">
        <v>26</v>
      </c>
      <c r="F127" s="21" t="s">
        <v>27</v>
      </c>
      <c r="G127" s="21" t="s">
        <v>28</v>
      </c>
      <c r="H127" s="21" t="s">
        <v>29</v>
      </c>
      <c r="I127" s="21" t="s">
        <v>30</v>
      </c>
      <c r="J127" s="21" t="s">
        <v>31</v>
      </c>
      <c r="K127" s="21" t="s">
        <v>32</v>
      </c>
      <c r="L127" s="21" t="s">
        <v>33</v>
      </c>
      <c r="M127" s="21" t="s">
        <v>34</v>
      </c>
      <c r="N127" s="21" t="s">
        <v>35</v>
      </c>
      <c r="O127" s="21" t="s">
        <v>36</v>
      </c>
      <c r="P127" s="21" t="s">
        <v>37</v>
      </c>
      <c r="Q127" s="21" t="s">
        <v>38</v>
      </c>
      <c r="R127" s="21" t="s">
        <v>39</v>
      </c>
      <c r="S127" s="21" t="s">
        <v>40</v>
      </c>
      <c r="T127" s="21" t="s">
        <v>41</v>
      </c>
      <c r="U127" s="21" t="s">
        <v>42</v>
      </c>
    </row>
    <row r="128" spans="1:37" x14ac:dyDescent="0.25">
      <c r="A128" s="7" t="s">
        <v>113</v>
      </c>
      <c r="B128" s="7">
        <v>1</v>
      </c>
      <c r="C128" s="7">
        <v>0.9</v>
      </c>
      <c r="D128" s="7">
        <v>0.8</v>
      </c>
      <c r="E128" s="7">
        <v>0.7</v>
      </c>
      <c r="F128" s="7">
        <v>0.6</v>
      </c>
      <c r="G128" s="7">
        <v>0.5</v>
      </c>
      <c r="H128" s="7">
        <v>0.4</v>
      </c>
      <c r="I128" s="7">
        <v>0.3</v>
      </c>
      <c r="J128" s="7">
        <v>0.25</v>
      </c>
      <c r="K128" s="7">
        <v>0.2</v>
      </c>
      <c r="L128" s="7">
        <v>0.15</v>
      </c>
      <c r="M128" s="7">
        <v>0.15</v>
      </c>
      <c r="N128" s="7">
        <v>0.15</v>
      </c>
      <c r="O128" s="7">
        <v>0.15</v>
      </c>
      <c r="P128" s="7">
        <v>0.15</v>
      </c>
      <c r="Q128" s="7">
        <v>0.15</v>
      </c>
      <c r="R128" s="7">
        <v>0.15</v>
      </c>
      <c r="S128" s="7">
        <v>0.15</v>
      </c>
      <c r="T128" s="7">
        <v>0.15</v>
      </c>
      <c r="U128" s="7">
        <v>0.15</v>
      </c>
    </row>
    <row r="130" spans="1:21" ht="15.75" thickBot="1" x14ac:dyDescent="0.3">
      <c r="A130" s="21" t="s">
        <v>190</v>
      </c>
      <c r="B130" s="21" t="s">
        <v>23</v>
      </c>
      <c r="C130" s="21" t="s">
        <v>24</v>
      </c>
      <c r="D130" s="21" t="s">
        <v>25</v>
      </c>
      <c r="E130" s="21" t="s">
        <v>26</v>
      </c>
      <c r="F130" s="21" t="s">
        <v>27</v>
      </c>
      <c r="G130" s="21" t="s">
        <v>28</v>
      </c>
      <c r="H130" s="21" t="s">
        <v>29</v>
      </c>
      <c r="I130" s="21" t="s">
        <v>30</v>
      </c>
      <c r="J130" s="21" t="s">
        <v>31</v>
      </c>
      <c r="K130" s="21" t="s">
        <v>32</v>
      </c>
      <c r="L130" s="21" t="s">
        <v>33</v>
      </c>
      <c r="M130" s="21" t="s">
        <v>34</v>
      </c>
      <c r="N130" s="21" t="s">
        <v>35</v>
      </c>
      <c r="O130" s="21" t="s">
        <v>36</v>
      </c>
      <c r="P130" s="21" t="s">
        <v>37</v>
      </c>
      <c r="Q130" s="21" t="s">
        <v>38</v>
      </c>
      <c r="R130" s="21" t="s">
        <v>39</v>
      </c>
      <c r="S130" s="21" t="s">
        <v>40</v>
      </c>
      <c r="T130" s="21" t="s">
        <v>41</v>
      </c>
      <c r="U130" s="21" t="s">
        <v>42</v>
      </c>
    </row>
    <row r="131" spans="1:21" x14ac:dyDescent="0.25">
      <c r="A131" s="7" t="s">
        <v>5</v>
      </c>
      <c r="B131" s="79">
        <v>1</v>
      </c>
      <c r="C131" s="79">
        <v>0.77285504615036693</v>
      </c>
      <c r="D131" s="79">
        <v>0.71200968215530547</v>
      </c>
      <c r="E131" s="79">
        <v>0.65595455448998286</v>
      </c>
      <c r="F131" s="79">
        <v>0.60431253723077727</v>
      </c>
      <c r="G131" s="79">
        <v>0.55673619483935832</v>
      </c>
      <c r="H131" s="79">
        <v>0.51290544469680766</v>
      </c>
      <c r="I131" s="79">
        <v>0.47252540366184964</v>
      </c>
      <c r="J131" s="79">
        <v>0.43532440416533508</v>
      </c>
      <c r="K131" s="79">
        <v>0.40105216649371916</v>
      </c>
      <c r="L131" s="79">
        <v>0.36947811496508276</v>
      </c>
      <c r="M131" s="79">
        <v>0.3403898266693165</v>
      </c>
      <c r="N131" s="79">
        <v>0.31359160233595185</v>
      </c>
      <c r="O131" s="79">
        <v>0.28890314971476877</v>
      </c>
      <c r="P131" s="79">
        <v>0.26615837061126951</v>
      </c>
      <c r="Q131" s="79">
        <v>0.24520424341647296</v>
      </c>
      <c r="R131" s="79">
        <v>0.22589979361295026</v>
      </c>
      <c r="S131" s="79">
        <v>0.20811514533090358</v>
      </c>
      <c r="T131" s="79">
        <v>0.19173064757337685</v>
      </c>
      <c r="U131" s="79">
        <v>0.1766360692320442</v>
      </c>
    </row>
    <row r="132" spans="1:21" x14ac:dyDescent="0.25">
      <c r="A132" s="7" t="s">
        <v>7</v>
      </c>
      <c r="B132" s="79">
        <v>1</v>
      </c>
      <c r="C132" s="79">
        <v>0.68906995618811362</v>
      </c>
      <c r="D132" s="79">
        <v>0.62599525975094106</v>
      </c>
      <c r="E132" s="79">
        <v>0.56869416771331271</v>
      </c>
      <c r="F132" s="79">
        <v>0.51663818751568646</v>
      </c>
      <c r="G132" s="79">
        <v>0.46934720268495778</v>
      </c>
      <c r="H132" s="79">
        <v>0.42638504468178978</v>
      </c>
      <c r="I132" s="79">
        <v>0.38735547008325349</v>
      </c>
      <c r="J132" s="79">
        <v>0.35189850599801403</v>
      </c>
      <c r="K132" s="79">
        <v>0.31968713000753352</v>
      </c>
      <c r="L132" s="79">
        <v>0.29042425401212246</v>
      </c>
      <c r="M132" s="79">
        <v>0.26383998416361076</v>
      </c>
      <c r="N132" s="79">
        <v>0.23968913161277766</v>
      </c>
      <c r="O132" s="79">
        <v>0.21774895111296469</v>
      </c>
      <c r="P132" s="79">
        <v>0.19781708662283226</v>
      </c>
      <c r="Q132" s="79">
        <v>0.17970970496038935</v>
      </c>
      <c r="R132" s="79">
        <v>0.16325980029483758</v>
      </c>
      <c r="S132" s="79">
        <v>0.14831565383842307</v>
      </c>
      <c r="T132" s="79">
        <v>0.13473943453190984</v>
      </c>
      <c r="U132" s="79">
        <v>0.12240592781768533</v>
      </c>
    </row>
    <row r="133" spans="1:21" x14ac:dyDescent="0.25">
      <c r="A133" s="7" t="s">
        <v>6</v>
      </c>
      <c r="B133" s="79">
        <v>1</v>
      </c>
      <c r="C133" s="79">
        <v>0.88339999999999996</v>
      </c>
      <c r="D133" s="79">
        <v>0.76680000000000004</v>
      </c>
      <c r="E133" s="79">
        <v>0.6502</v>
      </c>
      <c r="F133" s="79">
        <v>0.53360000000000007</v>
      </c>
      <c r="G133" s="79">
        <v>0.41700000000000004</v>
      </c>
      <c r="H133" s="79">
        <v>0.3004</v>
      </c>
      <c r="I133" s="79">
        <v>0.2591</v>
      </c>
      <c r="J133" s="79">
        <v>0.24869999999999998</v>
      </c>
      <c r="K133" s="79">
        <v>0.23829999999999998</v>
      </c>
      <c r="L133" s="79">
        <v>0.22789999999999999</v>
      </c>
      <c r="M133" s="79">
        <v>0.21749999999999997</v>
      </c>
      <c r="N133" s="79">
        <v>0.20709999999999998</v>
      </c>
      <c r="O133" s="79">
        <v>0.19669999999999999</v>
      </c>
      <c r="P133" s="79">
        <v>0.18629999999999997</v>
      </c>
      <c r="Q133" s="79">
        <v>0.17589999999999997</v>
      </c>
      <c r="R133" s="79">
        <v>0.16549999999999998</v>
      </c>
      <c r="S133" s="79">
        <v>0.15509999999999999</v>
      </c>
      <c r="T133" s="79">
        <v>0.1447</v>
      </c>
      <c r="U133" s="79">
        <v>0.13429999999999997</v>
      </c>
    </row>
    <row r="134" spans="1:21" x14ac:dyDescent="0.25">
      <c r="C134" s="2"/>
    </row>
    <row r="135" spans="1:21" ht="15.75" thickBot="1" x14ac:dyDescent="0.3">
      <c r="A135" s="21" t="s">
        <v>128</v>
      </c>
      <c r="B135" s="21"/>
    </row>
    <row r="136" spans="1:21" x14ac:dyDescent="0.25">
      <c r="A136" s="7" t="s">
        <v>125</v>
      </c>
      <c r="B136" s="25">
        <v>0.35</v>
      </c>
    </row>
    <row r="137" spans="1:21" ht="15.75" x14ac:dyDescent="0.25">
      <c r="A137" s="7" t="s">
        <v>127</v>
      </c>
      <c r="B137" s="25">
        <v>0.33</v>
      </c>
      <c r="C137" s="23"/>
      <c r="D137" s="23"/>
      <c r="E137" s="23"/>
      <c r="F137" s="23"/>
      <c r="G137" s="23"/>
      <c r="H137" s="23"/>
      <c r="I137" s="23"/>
      <c r="J137" s="23"/>
      <c r="M137" s="23"/>
      <c r="N137" s="23"/>
      <c r="O137" s="23"/>
      <c r="P137" s="23"/>
      <c r="Q137" s="23"/>
      <c r="R137" s="23"/>
      <c r="S137" s="23"/>
    </row>
    <row r="138" spans="1:21" ht="15.75" x14ac:dyDescent="0.25">
      <c r="A138" s="7" t="s">
        <v>207</v>
      </c>
      <c r="B138" s="25">
        <v>0.25</v>
      </c>
      <c r="C138" s="23"/>
      <c r="D138" s="23"/>
      <c r="E138" s="23"/>
      <c r="F138" s="23"/>
      <c r="G138" s="23"/>
      <c r="H138" s="23"/>
      <c r="I138" s="23"/>
      <c r="J138" s="23"/>
      <c r="M138" s="23"/>
      <c r="N138" s="23"/>
      <c r="O138" s="23"/>
      <c r="P138" s="23"/>
      <c r="Q138" s="23"/>
      <c r="R138" s="23"/>
      <c r="S138" s="23"/>
    </row>
    <row r="139" spans="1:21" ht="15.75" x14ac:dyDescent="0.25">
      <c r="A139" s="7" t="s">
        <v>231</v>
      </c>
      <c r="B139" s="25">
        <v>0.1</v>
      </c>
      <c r="C139" s="23"/>
      <c r="D139" s="23"/>
      <c r="E139" s="23"/>
      <c r="F139" s="23"/>
      <c r="G139" s="23"/>
      <c r="H139" s="23"/>
      <c r="I139" s="23"/>
      <c r="J139" s="23"/>
      <c r="M139" s="23"/>
      <c r="N139" s="23"/>
      <c r="O139" s="23"/>
      <c r="P139" s="23"/>
      <c r="Q139" s="23"/>
      <c r="R139" s="23"/>
      <c r="S139" s="23"/>
    </row>
    <row r="140" spans="1:21" ht="15.75" x14ac:dyDescent="0.25">
      <c r="A140" s="7" t="s">
        <v>144</v>
      </c>
      <c r="B140" s="72">
        <v>0.5</v>
      </c>
      <c r="C140" s="23"/>
      <c r="D140" s="23"/>
      <c r="E140" s="23"/>
      <c r="H140" s="24"/>
      <c r="I140" s="24"/>
    </row>
    <row r="141" spans="1:21" ht="15.75" x14ac:dyDescent="0.25">
      <c r="A141" s="7" t="s">
        <v>142</v>
      </c>
      <c r="B141" s="72">
        <v>0.25</v>
      </c>
      <c r="C141" s="23"/>
      <c r="D141" s="23"/>
      <c r="E141" s="23"/>
      <c r="H141" s="23"/>
      <c r="I141" s="24"/>
    </row>
    <row r="142" spans="1:21" ht="15.75" x14ac:dyDescent="0.25">
      <c r="A142" s="7" t="s">
        <v>143</v>
      </c>
      <c r="B142" s="72">
        <v>0.5</v>
      </c>
      <c r="C142" s="23"/>
      <c r="D142" s="23"/>
      <c r="E142" s="23"/>
      <c r="H142" s="23"/>
      <c r="I142" s="24"/>
    </row>
    <row r="143" spans="1:21" ht="15.75" x14ac:dyDescent="0.25">
      <c r="A143" s="7" t="s">
        <v>146</v>
      </c>
      <c r="B143" s="25">
        <v>0.5</v>
      </c>
      <c r="C143" s="23"/>
      <c r="D143" s="23"/>
      <c r="E143" s="23"/>
      <c r="H143" s="23"/>
      <c r="I143" s="24"/>
    </row>
    <row r="144" spans="1:21" ht="15.75" x14ac:dyDescent="0.25">
      <c r="A144" s="7" t="s">
        <v>148</v>
      </c>
      <c r="B144" s="25">
        <v>0.25</v>
      </c>
      <c r="C144" s="23"/>
      <c r="D144" s="23"/>
      <c r="E144" s="23"/>
      <c r="H144" s="23"/>
      <c r="I144" s="24"/>
    </row>
    <row r="145" spans="1:9" ht="15.75" x14ac:dyDescent="0.25">
      <c r="A145" s="7" t="s">
        <v>226</v>
      </c>
      <c r="B145" s="97">
        <v>20</v>
      </c>
      <c r="C145" s="23"/>
      <c r="D145" s="23"/>
      <c r="E145" s="23"/>
      <c r="H145" s="23"/>
      <c r="I145" s="24"/>
    </row>
    <row r="146" spans="1:9" ht="15.75" x14ac:dyDescent="0.25">
      <c r="A146" s="23"/>
      <c r="B146" s="23"/>
      <c r="C146" s="23"/>
      <c r="D146" s="23"/>
      <c r="E146" s="23"/>
      <c r="H146" s="23"/>
      <c r="I146" s="24"/>
    </row>
    <row r="147" spans="1:9" ht="15.75" x14ac:dyDescent="0.25">
      <c r="H147" s="23"/>
      <c r="I147" s="24"/>
    </row>
    <row r="148" spans="1:9" ht="15.75" x14ac:dyDescent="0.25">
      <c r="H148" s="23"/>
      <c r="I148" s="24"/>
    </row>
    <row r="149" spans="1:9" ht="15.75" x14ac:dyDescent="0.25">
      <c r="A149" s="23"/>
      <c r="B149" s="23"/>
      <c r="C149" s="23"/>
      <c r="D149" s="23"/>
      <c r="E149" s="23"/>
      <c r="H149" s="23"/>
      <c r="I149" s="24"/>
    </row>
    <row r="150" spans="1:9" ht="15.75" x14ac:dyDescent="0.25">
      <c r="A150" s="23"/>
      <c r="B150" s="23"/>
      <c r="C150" s="23"/>
      <c r="D150" s="23"/>
      <c r="E150" s="23"/>
      <c r="H150" s="23"/>
      <c r="I150" s="24"/>
    </row>
    <row r="151" spans="1:9" ht="15.75" x14ac:dyDescent="0.25">
      <c r="A151" s="23"/>
      <c r="B151" s="23"/>
      <c r="C151" s="23"/>
      <c r="D151" s="23"/>
      <c r="E151" s="23"/>
      <c r="H151" s="23"/>
      <c r="I151" s="24"/>
    </row>
    <row r="152" spans="1:9" ht="15.75" x14ac:dyDescent="0.25">
      <c r="A152" s="23"/>
      <c r="B152" s="23"/>
      <c r="C152" s="23"/>
      <c r="D152" s="23"/>
      <c r="E152" s="23"/>
      <c r="H152" s="23"/>
      <c r="I152" s="24"/>
    </row>
    <row r="153" spans="1:9" ht="15.75" x14ac:dyDescent="0.25">
      <c r="A153" s="23"/>
      <c r="B153" s="23"/>
      <c r="C153" s="23"/>
      <c r="D153" s="23"/>
      <c r="E153" s="23"/>
      <c r="H153" s="23"/>
      <c r="I153" s="24"/>
    </row>
    <row r="154" spans="1:9" ht="15.75" x14ac:dyDescent="0.25">
      <c r="A154" s="23"/>
      <c r="B154" s="23"/>
      <c r="C154" s="23"/>
      <c r="D154" s="23"/>
      <c r="E154" s="23"/>
      <c r="H154" s="23"/>
      <c r="I154" s="24"/>
    </row>
    <row r="155" spans="1:9" ht="15.75" x14ac:dyDescent="0.25">
      <c r="A155" s="23"/>
      <c r="B155" s="23"/>
      <c r="C155" s="23"/>
      <c r="D155" s="23"/>
      <c r="E155" s="23"/>
      <c r="H155" s="24"/>
      <c r="I155" s="24"/>
    </row>
    <row r="156" spans="1:9" x14ac:dyDescent="0.25">
      <c r="H156" s="24"/>
      <c r="I156" s="24"/>
    </row>
    <row r="157" spans="1:9" x14ac:dyDescent="0.25">
      <c r="H157" s="24"/>
      <c r="I157" s="24"/>
    </row>
    <row r="158" spans="1:9" x14ac:dyDescent="0.25">
      <c r="H158" s="24"/>
      <c r="I158" s="24"/>
    </row>
    <row r="159" spans="1:9" x14ac:dyDescent="0.25">
      <c r="H159" s="24"/>
      <c r="I159" s="24"/>
    </row>
    <row r="160" spans="1:9" x14ac:dyDescent="0.25">
      <c r="H160" s="24"/>
      <c r="I160" s="24"/>
    </row>
    <row r="161" spans="4:9" x14ac:dyDescent="0.25">
      <c r="H161" s="24"/>
      <c r="I161" s="24"/>
    </row>
    <row r="162" spans="4:9" x14ac:dyDescent="0.25">
      <c r="H162" s="24"/>
      <c r="I162" s="24"/>
    </row>
    <row r="163" spans="4:9" x14ac:dyDescent="0.25">
      <c r="H163" s="24"/>
      <c r="I163" s="24"/>
    </row>
    <row r="164" spans="4:9" x14ac:dyDescent="0.25">
      <c r="H164" s="24"/>
      <c r="I164" s="24"/>
    </row>
    <row r="165" spans="4:9" x14ac:dyDescent="0.25">
      <c r="H165" s="24"/>
      <c r="I165" s="24"/>
    </row>
    <row r="166" spans="4:9" x14ac:dyDescent="0.25">
      <c r="H166" s="24"/>
      <c r="I166" s="24"/>
    </row>
    <row r="167" spans="4:9" x14ac:dyDescent="0.25">
      <c r="H167" s="24"/>
      <c r="I167" s="24"/>
    </row>
    <row r="168" spans="4:9" x14ac:dyDescent="0.25">
      <c r="H168" s="24"/>
      <c r="I168" s="24"/>
    </row>
    <row r="169" spans="4:9" x14ac:dyDescent="0.25">
      <c r="H169" s="24"/>
      <c r="I169" s="24"/>
    </row>
    <row r="170" spans="4:9" x14ac:dyDescent="0.25">
      <c r="H170" s="24"/>
      <c r="I170" s="24"/>
    </row>
    <row r="171" spans="4:9" x14ac:dyDescent="0.25">
      <c r="H171" s="24"/>
      <c r="I171" s="24"/>
    </row>
    <row r="172" spans="4:9" x14ac:dyDescent="0.25">
      <c r="H172" s="24"/>
      <c r="I172" s="24"/>
    </row>
    <row r="173" spans="4:9" x14ac:dyDescent="0.25">
      <c r="H173" s="24"/>
      <c r="I173" s="24"/>
    </row>
    <row r="174" spans="4:9" ht="15.75" x14ac:dyDescent="0.25">
      <c r="D174" s="23"/>
      <c r="H174" s="24"/>
      <c r="I174" s="24"/>
    </row>
    <row r="175" spans="4:9" ht="15.75" x14ac:dyDescent="0.25">
      <c r="D175" s="23"/>
      <c r="H175" s="24"/>
      <c r="I175" s="24"/>
    </row>
    <row r="176" spans="4:9" ht="15.75" x14ac:dyDescent="0.25">
      <c r="D176" s="23"/>
      <c r="H176" s="24"/>
      <c r="I176" s="24"/>
    </row>
    <row r="177" spans="4:10" ht="15.75" x14ac:dyDescent="0.25">
      <c r="D177" s="23"/>
      <c r="H177" s="24"/>
      <c r="I177" s="24"/>
    </row>
    <row r="178" spans="4:10" ht="15.75" x14ac:dyDescent="0.25">
      <c r="D178" s="23"/>
      <c r="H178" s="24"/>
      <c r="I178" s="24"/>
    </row>
    <row r="179" spans="4:10" ht="15.75" x14ac:dyDescent="0.25">
      <c r="D179" s="23"/>
      <c r="H179" s="24"/>
      <c r="I179" s="24"/>
    </row>
    <row r="180" spans="4:10" x14ac:dyDescent="0.25">
      <c r="H180" s="24"/>
      <c r="I180" s="24"/>
    </row>
    <row r="181" spans="4:10" ht="15.75" x14ac:dyDescent="0.25">
      <c r="E181" s="23"/>
      <c r="F181" s="23"/>
      <c r="G181" s="23"/>
      <c r="H181" s="23"/>
      <c r="I181" s="23"/>
      <c r="J181" s="23"/>
    </row>
    <row r="182" spans="4:10" ht="15.75" x14ac:dyDescent="0.25">
      <c r="D182" s="23"/>
      <c r="E182" s="23"/>
      <c r="F182" s="23"/>
      <c r="G182" s="23"/>
      <c r="H182" s="23"/>
      <c r="I182" s="23"/>
      <c r="J182" s="23"/>
    </row>
    <row r="183" spans="4:10" ht="15.75" x14ac:dyDescent="0.25">
      <c r="D183" s="23"/>
      <c r="E183" s="23"/>
      <c r="F183" s="23"/>
      <c r="G183" s="23"/>
      <c r="H183" s="23"/>
      <c r="I183" s="23"/>
      <c r="J183" s="23"/>
    </row>
    <row r="184" spans="4:10" ht="15.75" x14ac:dyDescent="0.25">
      <c r="D184" s="23"/>
      <c r="E184" s="23"/>
      <c r="F184" s="23"/>
      <c r="G184" s="23"/>
      <c r="H184" s="23"/>
      <c r="I184" s="23"/>
      <c r="J184" s="23"/>
    </row>
    <row r="185" spans="4:10" ht="15.75" x14ac:dyDescent="0.25">
      <c r="D185" s="23"/>
      <c r="E185" s="23"/>
      <c r="F185" s="23"/>
      <c r="G185" s="23"/>
      <c r="H185" s="23"/>
      <c r="I185" s="23"/>
      <c r="J185" s="23"/>
    </row>
    <row r="186" spans="4:10" ht="15.75" x14ac:dyDescent="0.25">
      <c r="D186" s="23"/>
      <c r="E186" s="23"/>
      <c r="F186" s="23"/>
      <c r="G186" s="23"/>
      <c r="H186" s="23"/>
      <c r="I186" s="23"/>
      <c r="J186" s="23"/>
    </row>
    <row r="187" spans="4:10" ht="15.75" x14ac:dyDescent="0.25">
      <c r="D187" s="23"/>
      <c r="E187" s="23"/>
      <c r="F187" s="23"/>
      <c r="G187" s="23"/>
      <c r="H187" s="23"/>
      <c r="I187" s="23"/>
      <c r="J187" s="23"/>
    </row>
    <row r="188" spans="4:10" ht="15.75" x14ac:dyDescent="0.25">
      <c r="D188" s="23"/>
      <c r="E188" s="23"/>
      <c r="F188" s="23"/>
      <c r="G188" s="23"/>
      <c r="H188" s="23"/>
      <c r="I188" s="23"/>
      <c r="J188" s="23"/>
    </row>
    <row r="189" spans="4:10" ht="15.75" x14ac:dyDescent="0.25">
      <c r="E189" s="23"/>
      <c r="F189" s="23"/>
      <c r="G189" s="23"/>
      <c r="H189" s="23"/>
      <c r="I189" s="23"/>
      <c r="J189" s="23"/>
    </row>
  </sheetData>
  <sortState ref="A2:Q9">
    <sortCondition ref="A2"/>
  </sortState>
  <mergeCells count="1">
    <mergeCell ref="B91:D91"/>
  </mergeCells>
  <dataValidations count="2">
    <dataValidation type="list" allowBlank="1" showInputMessage="1" showErrorMessage="1" sqref="B2:B11">
      <formula1>"Class 2B-3, Class 4-7, Class 8"</formula1>
    </dataValidation>
    <dataValidation type="list" allowBlank="1" showInputMessage="1" showErrorMessage="1" sqref="K2:K11">
      <formula1>"Pickup/Van, Vocational, Tractor"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Introduction</vt:lpstr>
      <vt:lpstr>Main</vt:lpstr>
      <vt:lpstr>Input</vt:lpstr>
      <vt:lpstr>ComponentTab</vt:lpstr>
      <vt:lpstr>EconTab</vt:lpstr>
      <vt:lpstr>FixedTab</vt:lpstr>
      <vt:lpstr>FuelTab</vt:lpstr>
      <vt:lpstr>H2LCFSTab</vt:lpstr>
      <vt:lpstr>HydTab</vt:lpstr>
      <vt:lpstr>InfTab</vt:lpstr>
      <vt:lpstr>kWhTab</vt:lpstr>
      <vt:lpstr>LCFSTab</vt:lpstr>
      <vt:lpstr>MileTab</vt:lpstr>
      <vt:lpstr>Phase2Tab</vt:lpstr>
      <vt:lpstr>ResTab</vt:lpstr>
      <vt:lpstr>TimeTab</vt:lpstr>
      <vt:lpstr>VehTab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Ameja</dc:creator>
  <cp:lastModifiedBy>Paul Ameja</cp:lastModifiedBy>
  <cp:lastPrinted>2019-05-07T17:00:48Z</cp:lastPrinted>
  <dcterms:created xsi:type="dcterms:W3CDTF">2018-07-09T16:30:04Z</dcterms:created>
  <dcterms:modified xsi:type="dcterms:W3CDTF">2019-05-08T17:58:21Z</dcterms:modified>
</cp:coreProperties>
</file>