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51196F13-6AD0-C1B8-E2B4-A1F9AE17003E}"/>
  <workbookPr codeName="ThisWorkbook" defaultThemeVersion="124226"/>
  <mc:AlternateContent xmlns:mc="http://schemas.openxmlformats.org/markup-compatibility/2006">
    <mc:Choice Requires="x15">
      <x15ac:absPath xmlns:x15ac="http://schemas.microsoft.com/office/spreadsheetml/2010/11/ac" url="S:\Zero Emission\Electricity and Utilities\Electricity Rates (2018 update)\"/>
    </mc:Choice>
  </mc:AlternateContent>
  <bookViews>
    <workbookView xWindow="60" yWindow="15" windowWidth="19215" windowHeight="7785" activeTab="1"/>
  </bookViews>
  <sheets>
    <sheet name="Intro" sheetId="14" r:id="rId1"/>
    <sheet name="Rate Calculator" sheetId="13" r:id="rId2"/>
    <sheet name="Monthly Rate Calculator" sheetId="16" r:id="rId3"/>
    <sheet name="Data" sheetId="2" r:id="rId4"/>
  </sheets>
  <externalReferences>
    <externalReference r:id="rId5"/>
  </externalReferences>
  <definedNames>
    <definedName name="Charging_Strategy">'[1]Rates Table'!$A$26:$A$38</definedName>
    <definedName name="Charging_Time?">'[1]Rates Table'!$AC$48:$AC$55</definedName>
    <definedName name="_xlnm.Print_Area" localSheetId="0">Intro!$A$1:$N$63</definedName>
    <definedName name="Sequential">'[1]Rates Table'!$AF$49:$AF$56</definedName>
    <definedName name="Sequential_Charging?">'[1]Rates Table'!$AD$48:$AD$53</definedName>
  </definedNames>
  <calcPr calcId="162913"/>
</workbook>
</file>

<file path=xl/calcChain.xml><?xml version="1.0" encoding="utf-8"?>
<calcChain xmlns="http://schemas.openxmlformats.org/spreadsheetml/2006/main">
  <c r="T3" i="13" l="1"/>
  <c r="Y144" i="16" l="1"/>
  <c r="W144" i="16"/>
  <c r="U144" i="16"/>
  <c r="S144" i="16"/>
  <c r="Q144" i="16"/>
  <c r="M144" i="16"/>
  <c r="O144" i="16" s="1"/>
  <c r="I144" i="16"/>
  <c r="G144" i="16"/>
  <c r="Y132" i="16"/>
  <c r="W132" i="16"/>
  <c r="U132" i="16"/>
  <c r="S132" i="16"/>
  <c r="Q132" i="16"/>
  <c r="M132" i="16"/>
  <c r="O132" i="16" s="1"/>
  <c r="I132" i="16"/>
  <c r="G132" i="16"/>
  <c r="Y120" i="16"/>
  <c r="W120" i="16"/>
  <c r="U120" i="16"/>
  <c r="S120" i="16"/>
  <c r="Q120" i="16"/>
  <c r="M120" i="16"/>
  <c r="O120" i="16" s="1"/>
  <c r="I120" i="16"/>
  <c r="G120" i="16"/>
  <c r="Y108" i="16"/>
  <c r="W108" i="16"/>
  <c r="U108" i="16"/>
  <c r="S108" i="16"/>
  <c r="Q108" i="16"/>
  <c r="M108" i="16"/>
  <c r="O108" i="16" s="1"/>
  <c r="I108" i="16"/>
  <c r="G108" i="16"/>
  <c r="Y96" i="16"/>
  <c r="W96" i="16"/>
  <c r="U96" i="16"/>
  <c r="S96" i="16"/>
  <c r="Q96" i="16"/>
  <c r="M96" i="16"/>
  <c r="O96" i="16" s="1"/>
  <c r="I96" i="16"/>
  <c r="G96" i="16"/>
  <c r="Y84" i="16"/>
  <c r="W84" i="16"/>
  <c r="U84" i="16"/>
  <c r="S84" i="16"/>
  <c r="Q84" i="16"/>
  <c r="M84" i="16"/>
  <c r="O84" i="16" s="1"/>
  <c r="I84" i="16"/>
  <c r="G84" i="16"/>
  <c r="Y72" i="16"/>
  <c r="W72" i="16"/>
  <c r="U72" i="16"/>
  <c r="S72" i="16"/>
  <c r="Q72" i="16"/>
  <c r="M72" i="16"/>
  <c r="O72" i="16" s="1"/>
  <c r="I72" i="16"/>
  <c r="G72" i="16"/>
  <c r="Y60" i="16"/>
  <c r="W60" i="16"/>
  <c r="U60" i="16"/>
  <c r="S60" i="16"/>
  <c r="Q60" i="16"/>
  <c r="M60" i="16"/>
  <c r="O60" i="16" s="1"/>
  <c r="I60" i="16"/>
  <c r="G60" i="16"/>
  <c r="Y48" i="16"/>
  <c r="W48" i="16"/>
  <c r="U48" i="16"/>
  <c r="S48" i="16"/>
  <c r="Q48" i="16"/>
  <c r="M48" i="16"/>
  <c r="O48" i="16" s="1"/>
  <c r="I48" i="16"/>
  <c r="G48" i="16"/>
  <c r="Y36" i="16"/>
  <c r="W36" i="16"/>
  <c r="U36" i="16"/>
  <c r="S36" i="16"/>
  <c r="Q36" i="16"/>
  <c r="M36" i="16"/>
  <c r="O36" i="16" s="1"/>
  <c r="I36" i="16"/>
  <c r="G36" i="16"/>
  <c r="Y24" i="16"/>
  <c r="W24" i="16"/>
  <c r="U24" i="16"/>
  <c r="S24" i="16"/>
  <c r="Q24" i="16"/>
  <c r="M24" i="16"/>
  <c r="O24" i="16" s="1"/>
  <c r="I24" i="16"/>
  <c r="G24" i="16"/>
  <c r="U12" i="16"/>
  <c r="E84" i="16" l="1"/>
  <c r="C84" i="16" s="1"/>
  <c r="K84" i="16" s="1"/>
  <c r="E72" i="16"/>
  <c r="C72" i="16" s="1"/>
  <c r="K72" i="16" s="1"/>
  <c r="E108" i="16"/>
  <c r="C108" i="16" s="1"/>
  <c r="K108" i="16" s="1"/>
  <c r="E120" i="16"/>
  <c r="C120" i="16" s="1"/>
  <c r="K120" i="16" s="1"/>
  <c r="E96" i="16"/>
  <c r="C96" i="16" s="1"/>
  <c r="K96" i="16" s="1"/>
  <c r="E36" i="16"/>
  <c r="C36" i="16" s="1"/>
  <c r="K36" i="16" s="1"/>
  <c r="E132" i="16"/>
  <c r="C132" i="16" s="1"/>
  <c r="K132" i="16" s="1"/>
  <c r="E48" i="16"/>
  <c r="C48" i="16" s="1"/>
  <c r="K48" i="16" s="1"/>
  <c r="E60" i="16"/>
  <c r="C60" i="16" s="1"/>
  <c r="K60" i="16" s="1"/>
  <c r="E144" i="16"/>
  <c r="C144" i="16" s="1"/>
  <c r="K144" i="16" s="1"/>
  <c r="E24" i="16"/>
  <c r="C24" i="16" s="1"/>
  <c r="K24" i="16" s="1"/>
  <c r="W12" i="16"/>
  <c r="Q149" i="16" l="1"/>
  <c r="Q53" i="16"/>
  <c r="Q137" i="16"/>
  <c r="Q41" i="16"/>
  <c r="Q65" i="16"/>
  <c r="Q125" i="16"/>
  <c r="Q29" i="16"/>
  <c r="Q101" i="16"/>
  <c r="Q113" i="16"/>
  <c r="Q17" i="16"/>
  <c r="Q89" i="16"/>
  <c r="Q77" i="16"/>
  <c r="B9" i="16"/>
  <c r="Q21" i="16"/>
  <c r="Q20" i="16"/>
  <c r="V17" i="16"/>
  <c r="G45" i="2"/>
  <c r="C45" i="2"/>
  <c r="BZ45" i="2"/>
  <c r="G46" i="2"/>
  <c r="C46" i="2"/>
  <c r="BZ46" i="2" l="1"/>
  <c r="V143" i="16" l="1"/>
  <c r="V131" i="16"/>
  <c r="V119" i="16"/>
  <c r="V107" i="16"/>
  <c r="V95" i="16"/>
  <c r="V83" i="16"/>
  <c r="V71" i="16"/>
  <c r="V59" i="16"/>
  <c r="V47" i="16"/>
  <c r="V35" i="16"/>
  <c r="V23" i="16"/>
  <c r="V11" i="16"/>
  <c r="U18" i="13"/>
  <c r="Y12" i="16" l="1"/>
  <c r="I12" i="16"/>
  <c r="Y18" i="13"/>
  <c r="S12" i="16"/>
  <c r="Q12" i="16"/>
  <c r="M12" i="16"/>
  <c r="O12" i="16" s="1"/>
  <c r="M18" i="13"/>
  <c r="O18" i="13" s="1"/>
  <c r="Q18" i="13"/>
  <c r="Q44" i="16" l="1"/>
  <c r="Q45" i="16"/>
  <c r="Q32" i="16"/>
  <c r="Q33" i="16"/>
  <c r="Q129" i="16"/>
  <c r="Q128" i="16"/>
  <c r="Q104" i="16"/>
  <c r="Q105" i="16"/>
  <c r="Q116" i="16"/>
  <c r="Q117" i="16"/>
  <c r="Q93" i="16"/>
  <c r="Q92" i="16"/>
  <c r="Q80" i="16"/>
  <c r="Q81" i="16"/>
  <c r="Q68" i="16"/>
  <c r="Q69" i="16"/>
  <c r="Q56" i="16"/>
  <c r="Q57" i="16"/>
  <c r="Q153" i="16"/>
  <c r="Q152" i="16"/>
  <c r="Q141" i="16"/>
  <c r="Q140" i="16"/>
  <c r="V125" i="16"/>
  <c r="V89" i="16"/>
  <c r="V113" i="16"/>
  <c r="V101" i="16"/>
  <c r="V77" i="16"/>
  <c r="V65" i="16"/>
  <c r="V29" i="16"/>
  <c r="V149" i="16"/>
  <c r="V53" i="16"/>
  <c r="V41" i="16"/>
  <c r="V137" i="16"/>
  <c r="E12" i="16"/>
  <c r="E18" i="13"/>
  <c r="N64" i="2"/>
  <c r="M64" i="2"/>
  <c r="L64" i="2"/>
  <c r="K64" i="2"/>
  <c r="O64" i="2"/>
  <c r="P64" i="2"/>
  <c r="P65" i="2"/>
  <c r="O65" i="2"/>
  <c r="N65" i="2"/>
  <c r="M65" i="2"/>
  <c r="L65" i="2"/>
  <c r="K65" i="2"/>
  <c r="O60" i="2"/>
  <c r="T8" i="13"/>
  <c r="T6" i="16"/>
  <c r="P63" i="2"/>
  <c r="O63" i="2"/>
  <c r="N63" i="2"/>
  <c r="M63" i="2"/>
  <c r="L63" i="2"/>
  <c r="K63" i="2"/>
  <c r="Q46" i="13" l="1"/>
  <c r="Q31" i="13"/>
  <c r="BZ72" i="2" l="1"/>
  <c r="BZ70" i="2"/>
  <c r="P67" i="2"/>
  <c r="O67" i="2"/>
  <c r="N67" i="2"/>
  <c r="M67" i="2"/>
  <c r="L67" i="2"/>
  <c r="K67" i="2"/>
  <c r="P66" i="2"/>
  <c r="O66" i="2"/>
  <c r="N66" i="2"/>
  <c r="M66" i="2"/>
  <c r="L66" i="2"/>
  <c r="K66" i="2"/>
  <c r="C67" i="2"/>
  <c r="C66" i="2"/>
  <c r="G67" i="2"/>
  <c r="G66" i="2"/>
  <c r="BZ67" i="2"/>
  <c r="BZ66" i="2"/>
  <c r="BZ63" i="2"/>
  <c r="BZ65" i="2"/>
  <c r="BZ62" i="2"/>
  <c r="P62" i="2"/>
  <c r="O62" i="2"/>
  <c r="N62" i="2"/>
  <c r="L62" i="2"/>
  <c r="M62" i="2"/>
  <c r="K62" i="2"/>
  <c r="D63" i="2"/>
  <c r="D62" i="2"/>
  <c r="T152" i="16" l="1"/>
  <c r="T149" i="16"/>
  <c r="T140" i="16"/>
  <c r="T137" i="16"/>
  <c r="T128" i="16"/>
  <c r="T125" i="16"/>
  <c r="T116" i="16"/>
  <c r="T113" i="16"/>
  <c r="T104" i="16"/>
  <c r="T101" i="16"/>
  <c r="T92" i="16"/>
  <c r="T89" i="16"/>
  <c r="T80" i="16"/>
  <c r="T77" i="16"/>
  <c r="T68" i="16"/>
  <c r="T65" i="16"/>
  <c r="T56" i="16"/>
  <c r="T53" i="16"/>
  <c r="T44" i="16"/>
  <c r="T41" i="16"/>
  <c r="T32" i="16"/>
  <c r="T29" i="16"/>
  <c r="V20" i="16"/>
  <c r="T20" i="16"/>
  <c r="T17" i="16"/>
  <c r="BZ57" i="2" l="1"/>
  <c r="P57" i="2"/>
  <c r="O57" i="2"/>
  <c r="N57" i="2"/>
  <c r="M57" i="2"/>
  <c r="L57" i="2"/>
  <c r="K57" i="2"/>
  <c r="BZ56" i="2"/>
  <c r="P56" i="2"/>
  <c r="O56" i="2"/>
  <c r="N56" i="2"/>
  <c r="M56" i="2"/>
  <c r="L56" i="2"/>
  <c r="K56" i="2"/>
  <c r="P61" i="2" l="1"/>
  <c r="O61" i="2"/>
  <c r="N61" i="2"/>
  <c r="M61" i="2"/>
  <c r="L61" i="2"/>
  <c r="K61" i="2"/>
  <c r="P60" i="2"/>
  <c r="N60" i="2"/>
  <c r="M60" i="2"/>
  <c r="L60" i="2"/>
  <c r="K60" i="2"/>
  <c r="B50" i="2"/>
  <c r="CK42" i="2" l="1"/>
  <c r="CJ42" i="2"/>
  <c r="CF42" i="2"/>
  <c r="CE42" i="2"/>
  <c r="P41" i="2"/>
  <c r="O41" i="2"/>
  <c r="N41" i="2"/>
  <c r="M41" i="2"/>
  <c r="L41" i="2"/>
  <c r="K41" i="2"/>
  <c r="CH34" i="2" l="1"/>
  <c r="T43" i="13"/>
  <c r="T40" i="13"/>
  <c r="T28" i="13"/>
  <c r="T25" i="13"/>
  <c r="P51" i="2" l="1"/>
  <c r="O51" i="2"/>
  <c r="M51" i="2"/>
  <c r="N51" i="2"/>
  <c r="L51" i="2"/>
  <c r="K51" i="2"/>
  <c r="P58" i="2"/>
  <c r="O58" i="2"/>
  <c r="M58" i="2"/>
  <c r="L58" i="2"/>
  <c r="K58" i="2"/>
  <c r="G65" i="2"/>
  <c r="C65" i="2"/>
  <c r="G64" i="2"/>
  <c r="C64" i="2"/>
  <c r="BZ68" i="2"/>
  <c r="B68" i="2"/>
  <c r="B69" i="2"/>
  <c r="B71" i="2"/>
  <c r="O74" i="2"/>
  <c r="G77" i="2"/>
  <c r="C77" i="2"/>
  <c r="P73" i="2"/>
  <c r="M73" i="2"/>
  <c r="K73" i="2"/>
  <c r="BZ64" i="2" l="1"/>
  <c r="G38" i="2"/>
  <c r="C38" i="2"/>
  <c r="G37" i="2"/>
  <c r="C37" i="2"/>
  <c r="P69" i="2"/>
  <c r="N69" i="2"/>
  <c r="M69" i="2"/>
  <c r="K69" i="2"/>
  <c r="P76" i="2" l="1"/>
  <c r="N76" i="2"/>
  <c r="M76" i="2"/>
  <c r="L76" i="2"/>
  <c r="K76" i="2"/>
  <c r="P52" i="2" l="1"/>
  <c r="O52" i="2"/>
  <c r="N52" i="2"/>
  <c r="M52" i="2"/>
  <c r="L52" i="2"/>
  <c r="K52" i="2"/>
  <c r="P75" i="2"/>
  <c r="O75" i="2"/>
  <c r="M75" i="2"/>
  <c r="L75" i="2"/>
  <c r="K75" i="2"/>
  <c r="P74" i="2"/>
  <c r="M74" i="2"/>
  <c r="L74" i="2"/>
  <c r="K74" i="2"/>
  <c r="P59" i="2"/>
  <c r="O59" i="2"/>
  <c r="M59" i="2"/>
  <c r="L59" i="2"/>
  <c r="K59" i="2"/>
  <c r="P55" i="2"/>
  <c r="O55" i="2"/>
  <c r="N55" i="2"/>
  <c r="M55" i="2"/>
  <c r="L55" i="2"/>
  <c r="K55" i="2"/>
  <c r="P54" i="2"/>
  <c r="O54" i="2"/>
  <c r="N54" i="2"/>
  <c r="M54" i="2"/>
  <c r="L54" i="2"/>
  <c r="K54" i="2"/>
  <c r="P53" i="2" l="1"/>
  <c r="O53" i="2"/>
  <c r="N53" i="2"/>
  <c r="M53" i="2"/>
  <c r="L53" i="2"/>
  <c r="K53" i="2"/>
  <c r="B47" i="2"/>
  <c r="BZ55" i="2" l="1"/>
  <c r="BP15" i="2" l="1"/>
  <c r="Q2" i="2" l="1"/>
  <c r="AR14" i="2"/>
  <c r="AS14" i="2"/>
  <c r="AT14" i="2"/>
  <c r="AU14" i="2"/>
  <c r="AV14" i="2"/>
  <c r="AW14" i="2"/>
  <c r="AX14" i="2"/>
  <c r="AY14" i="2"/>
  <c r="AZ14" i="2"/>
  <c r="BA14" i="2"/>
  <c r="BB14" i="2"/>
  <c r="BC14" i="2"/>
  <c r="BD14" i="2"/>
  <c r="BE14" i="2"/>
  <c r="BF14" i="2"/>
  <c r="BG14" i="2"/>
  <c r="BH14" i="2"/>
  <c r="BI14" i="2"/>
  <c r="BJ14" i="2"/>
  <c r="BK14" i="2"/>
  <c r="BL14" i="2"/>
  <c r="BM14" i="2"/>
  <c r="BN14" i="2"/>
  <c r="BO14" i="2"/>
  <c r="BP14" i="2"/>
  <c r="AS15" i="2"/>
  <c r="AT15" i="2"/>
  <c r="AU15" i="2"/>
  <c r="AV15" i="2"/>
  <c r="AW15" i="2"/>
  <c r="AX15" i="2"/>
  <c r="AY15" i="2"/>
  <c r="AZ15" i="2"/>
  <c r="BA15" i="2"/>
  <c r="BB15" i="2"/>
  <c r="BC15" i="2"/>
  <c r="BD15" i="2"/>
  <c r="BE15" i="2"/>
  <c r="BF15" i="2"/>
  <c r="BG15" i="2"/>
  <c r="BH15" i="2"/>
  <c r="BI15" i="2"/>
  <c r="BJ15" i="2"/>
  <c r="BK15" i="2"/>
  <c r="BL15" i="2"/>
  <c r="BM15" i="2"/>
  <c r="BN15" i="2"/>
  <c r="BO15" i="2"/>
  <c r="G12" i="16" l="1"/>
  <c r="BQ14" i="2"/>
  <c r="BQ15" i="2"/>
  <c r="AB140" i="16"/>
  <c r="Z140" i="16"/>
  <c r="X140" i="16"/>
  <c r="V140" i="16"/>
  <c r="AB128" i="16"/>
  <c r="Z128" i="16"/>
  <c r="X128" i="16"/>
  <c r="V128" i="16"/>
  <c r="AB116" i="16"/>
  <c r="Z116" i="16"/>
  <c r="X116" i="16"/>
  <c r="V116" i="16"/>
  <c r="AB104" i="16"/>
  <c r="Z104" i="16"/>
  <c r="X104" i="16"/>
  <c r="V104" i="16"/>
  <c r="AB92" i="16"/>
  <c r="Z92" i="16"/>
  <c r="X92" i="16"/>
  <c r="V92" i="16"/>
  <c r="AB80" i="16"/>
  <c r="Z80" i="16"/>
  <c r="X80" i="16"/>
  <c r="V80" i="16"/>
  <c r="AB68" i="16"/>
  <c r="Z68" i="16"/>
  <c r="X68" i="16"/>
  <c r="V68" i="16"/>
  <c r="AB56" i="16"/>
  <c r="Z56" i="16"/>
  <c r="X56" i="16"/>
  <c r="V56" i="16"/>
  <c r="AB44" i="16"/>
  <c r="Z44" i="16"/>
  <c r="X44" i="16"/>
  <c r="V44" i="16"/>
  <c r="AB32" i="16"/>
  <c r="Z32" i="16"/>
  <c r="X32" i="16"/>
  <c r="V32" i="16"/>
  <c r="C12" i="16" l="1"/>
  <c r="T3" i="16"/>
  <c r="K12" i="16"/>
  <c r="S6" i="16"/>
  <c r="T4" i="16" s="1"/>
  <c r="BP13" i="2"/>
  <c r="BO13" i="2"/>
  <c r="BN13" i="2"/>
  <c r="BM13" i="2"/>
  <c r="BL13" i="2"/>
  <c r="BK13" i="2"/>
  <c r="BJ13" i="2"/>
  <c r="BI13" i="2"/>
  <c r="BH13" i="2"/>
  <c r="BG13" i="2"/>
  <c r="BF13" i="2"/>
  <c r="BE13" i="2"/>
  <c r="BD13" i="2"/>
  <c r="BC13" i="2"/>
  <c r="BB13" i="2"/>
  <c r="BA13" i="2"/>
  <c r="AZ13" i="2"/>
  <c r="AY13" i="2"/>
  <c r="AX13" i="2"/>
  <c r="AW13" i="2"/>
  <c r="AV13" i="2"/>
  <c r="AU13" i="2"/>
  <c r="AT13" i="2"/>
  <c r="AS13" i="2"/>
  <c r="AR13"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BP11" i="2"/>
  <c r="BO11" i="2"/>
  <c r="BN11" i="2"/>
  <c r="BM11" i="2"/>
  <c r="BL11" i="2"/>
  <c r="BK11" i="2"/>
  <c r="BJ11" i="2"/>
  <c r="BI11" i="2"/>
  <c r="BH11" i="2"/>
  <c r="BG11" i="2"/>
  <c r="BF11" i="2"/>
  <c r="BE11" i="2"/>
  <c r="BD11" i="2"/>
  <c r="BC11" i="2"/>
  <c r="BB11" i="2"/>
  <c r="BA11" i="2"/>
  <c r="AZ11" i="2"/>
  <c r="AY11" i="2"/>
  <c r="AX11" i="2"/>
  <c r="AW11" i="2"/>
  <c r="AV11" i="2"/>
  <c r="AU11" i="2"/>
  <c r="AT11" i="2"/>
  <c r="AS11" i="2"/>
  <c r="AR11" i="2"/>
  <c r="BP10" i="2"/>
  <c r="BO10" i="2"/>
  <c r="BN10" i="2"/>
  <c r="BM10" i="2"/>
  <c r="BL10" i="2"/>
  <c r="BK10" i="2"/>
  <c r="BJ10" i="2"/>
  <c r="BI10" i="2"/>
  <c r="BH10" i="2"/>
  <c r="BG10" i="2"/>
  <c r="BF10" i="2"/>
  <c r="BE10" i="2"/>
  <c r="BD10" i="2"/>
  <c r="BC10" i="2"/>
  <c r="BB10" i="2"/>
  <c r="BA10" i="2"/>
  <c r="AZ10" i="2"/>
  <c r="AY10" i="2"/>
  <c r="AX10" i="2"/>
  <c r="AW10" i="2"/>
  <c r="AV10" i="2"/>
  <c r="AU10" i="2"/>
  <c r="AT10" i="2"/>
  <c r="AS10" i="2"/>
  <c r="AR10" i="2"/>
  <c r="BP9" i="2"/>
  <c r="BO9" i="2"/>
  <c r="BN9" i="2"/>
  <c r="BM9" i="2"/>
  <c r="BL9" i="2"/>
  <c r="BK9" i="2"/>
  <c r="BJ9" i="2"/>
  <c r="BI9" i="2"/>
  <c r="BH9" i="2"/>
  <c r="BG9" i="2"/>
  <c r="BF9" i="2"/>
  <c r="BE9" i="2"/>
  <c r="BD9" i="2"/>
  <c r="BC9" i="2"/>
  <c r="BB9" i="2"/>
  <c r="BA9" i="2"/>
  <c r="AZ9" i="2"/>
  <c r="AY9" i="2"/>
  <c r="AX9" i="2"/>
  <c r="AW9" i="2"/>
  <c r="AV9" i="2"/>
  <c r="AU9" i="2"/>
  <c r="AT9" i="2"/>
  <c r="AS9" i="2"/>
  <c r="AR9" i="2"/>
  <c r="BQ12" i="2" l="1"/>
  <c r="BQ13" i="2"/>
  <c r="BQ10" i="2"/>
  <c r="BQ11" i="2"/>
  <c r="BQ9" i="2"/>
  <c r="BZ77" i="2" l="1"/>
  <c r="BZ76" i="2"/>
  <c r="BZ75" i="2"/>
  <c r="BZ74" i="2"/>
  <c r="BZ73" i="2"/>
  <c r="BZ71" i="2"/>
  <c r="BZ69" i="2"/>
  <c r="BZ61" i="2"/>
  <c r="BZ60" i="2"/>
  <c r="BZ59" i="2"/>
  <c r="BZ58" i="2"/>
  <c r="BZ54" i="2"/>
  <c r="BZ53" i="2"/>
  <c r="BZ52" i="2"/>
  <c r="BZ51" i="2"/>
  <c r="BZ50" i="2"/>
  <c r="BZ49" i="2"/>
  <c r="B48" i="2"/>
  <c r="BZ47" i="2"/>
  <c r="BZ44" i="2"/>
  <c r="B44" i="2"/>
  <c r="BZ43" i="2"/>
  <c r="BZ42" i="2"/>
  <c r="BZ41" i="2"/>
  <c r="G41" i="2"/>
  <c r="C41" i="2"/>
  <c r="BZ40" i="2"/>
  <c r="CJ39" i="2"/>
  <c r="BZ39" i="2"/>
  <c r="BZ35" i="2"/>
  <c r="BZ34" i="2"/>
  <c r="BZ33" i="2"/>
  <c r="AB152" i="16" l="1"/>
  <c r="Z152" i="16"/>
  <c r="X152" i="16"/>
  <c r="V152" i="16"/>
  <c r="M127" i="16"/>
  <c r="M139" i="16"/>
  <c r="M151" i="16"/>
  <c r="BL17" i="2" l="1"/>
  <c r="BM17" i="2"/>
  <c r="C146" i="16" l="1"/>
  <c r="C134" i="16"/>
  <c r="C122" i="16"/>
  <c r="C110" i="16"/>
  <c r="C98" i="16"/>
  <c r="C86" i="16"/>
  <c r="C74" i="16"/>
  <c r="C62" i="16"/>
  <c r="C50" i="16"/>
  <c r="C38" i="16"/>
  <c r="C26" i="16"/>
  <c r="M115" i="16"/>
  <c r="M103" i="16"/>
  <c r="M91" i="16"/>
  <c r="M79" i="16"/>
  <c r="M67" i="16"/>
  <c r="M55" i="16"/>
  <c r="M43" i="16"/>
  <c r="M31" i="16"/>
  <c r="M19" i="16"/>
  <c r="I147" i="16"/>
  <c r="J147" i="16"/>
  <c r="K147" i="16"/>
  <c r="L147" i="16"/>
  <c r="M147" i="16"/>
  <c r="N147" i="16"/>
  <c r="O147" i="16"/>
  <c r="P147" i="16"/>
  <c r="Q147" i="16"/>
  <c r="R147" i="16"/>
  <c r="S147" i="16"/>
  <c r="T147" i="16"/>
  <c r="U147" i="16"/>
  <c r="V147" i="16"/>
  <c r="W147" i="16"/>
  <c r="X147" i="16"/>
  <c r="Y147" i="16"/>
  <c r="Z147" i="16"/>
  <c r="AA147" i="16"/>
  <c r="AB147" i="16"/>
  <c r="AC147" i="16"/>
  <c r="AD147" i="16"/>
  <c r="AE147" i="16"/>
  <c r="H147" i="16"/>
  <c r="I135" i="16"/>
  <c r="J135" i="16"/>
  <c r="K135" i="16"/>
  <c r="L135" i="16"/>
  <c r="M135" i="16"/>
  <c r="N135" i="16"/>
  <c r="O135" i="16"/>
  <c r="P135" i="16"/>
  <c r="Q135" i="16"/>
  <c r="R135" i="16"/>
  <c r="S135" i="16"/>
  <c r="T135" i="16"/>
  <c r="U135" i="16"/>
  <c r="V135" i="16"/>
  <c r="W135" i="16"/>
  <c r="X135" i="16"/>
  <c r="Y135" i="16"/>
  <c r="Z135" i="16"/>
  <c r="AA135" i="16"/>
  <c r="AB135" i="16"/>
  <c r="AC135" i="16"/>
  <c r="AD135" i="16"/>
  <c r="AE135" i="16"/>
  <c r="H135" i="16"/>
  <c r="I123" i="16"/>
  <c r="J123" i="16"/>
  <c r="K123" i="16"/>
  <c r="L123" i="16"/>
  <c r="M123" i="16"/>
  <c r="N123" i="16"/>
  <c r="O123" i="16"/>
  <c r="P123" i="16"/>
  <c r="Q123" i="16"/>
  <c r="R123" i="16"/>
  <c r="S123" i="16"/>
  <c r="T123" i="16"/>
  <c r="U123" i="16"/>
  <c r="V123" i="16"/>
  <c r="W123" i="16"/>
  <c r="X123" i="16"/>
  <c r="Y123" i="16"/>
  <c r="Z123" i="16"/>
  <c r="AA123" i="16"/>
  <c r="AB123" i="16"/>
  <c r="AC123" i="16"/>
  <c r="AD123" i="16"/>
  <c r="AE123" i="16"/>
  <c r="H123" i="16"/>
  <c r="I111" i="16"/>
  <c r="J111" i="16"/>
  <c r="K111" i="16"/>
  <c r="L111" i="16"/>
  <c r="M111" i="16"/>
  <c r="N111" i="16"/>
  <c r="O111" i="16"/>
  <c r="P111" i="16"/>
  <c r="Q111" i="16"/>
  <c r="R111" i="16"/>
  <c r="S111" i="16"/>
  <c r="T111" i="16"/>
  <c r="U111" i="16"/>
  <c r="V111" i="16"/>
  <c r="W111" i="16"/>
  <c r="X111" i="16"/>
  <c r="Y111" i="16"/>
  <c r="Z111" i="16"/>
  <c r="AA111" i="16"/>
  <c r="AB111" i="16"/>
  <c r="AC111" i="16"/>
  <c r="AD111" i="16"/>
  <c r="AE111" i="16"/>
  <c r="H111" i="16"/>
  <c r="I99" i="16"/>
  <c r="J99" i="16"/>
  <c r="K99" i="16"/>
  <c r="L99" i="16"/>
  <c r="M99" i="16"/>
  <c r="N99" i="16"/>
  <c r="O99" i="16"/>
  <c r="P99" i="16"/>
  <c r="Q99" i="16"/>
  <c r="R99" i="16"/>
  <c r="S99" i="16"/>
  <c r="T99" i="16"/>
  <c r="U99" i="16"/>
  <c r="V99" i="16"/>
  <c r="W99" i="16"/>
  <c r="X99" i="16"/>
  <c r="Y99" i="16"/>
  <c r="Z99" i="16"/>
  <c r="AA99" i="16"/>
  <c r="AB99" i="16"/>
  <c r="AC99" i="16"/>
  <c r="AD99" i="16"/>
  <c r="AE99" i="16"/>
  <c r="H99" i="16"/>
  <c r="I87" i="16"/>
  <c r="J87" i="16"/>
  <c r="K87" i="16"/>
  <c r="L87" i="16"/>
  <c r="M87" i="16"/>
  <c r="N87" i="16"/>
  <c r="O87" i="16"/>
  <c r="P87" i="16"/>
  <c r="Q87" i="16"/>
  <c r="R87" i="16"/>
  <c r="S87" i="16"/>
  <c r="T87" i="16"/>
  <c r="U87" i="16"/>
  <c r="V87" i="16"/>
  <c r="W87" i="16"/>
  <c r="X87" i="16"/>
  <c r="Y87" i="16"/>
  <c r="Z87" i="16"/>
  <c r="AA87" i="16"/>
  <c r="AB87" i="16"/>
  <c r="AC87" i="16"/>
  <c r="AD87" i="16"/>
  <c r="AE87" i="16"/>
  <c r="H87" i="16"/>
  <c r="I75" i="16"/>
  <c r="J75" i="16"/>
  <c r="K75" i="16"/>
  <c r="L75" i="16"/>
  <c r="M75" i="16"/>
  <c r="N75" i="16"/>
  <c r="O75" i="16"/>
  <c r="P75" i="16"/>
  <c r="Q75" i="16"/>
  <c r="R75" i="16"/>
  <c r="S75" i="16"/>
  <c r="T75" i="16"/>
  <c r="U75" i="16"/>
  <c r="V75" i="16"/>
  <c r="W75" i="16"/>
  <c r="X75" i="16"/>
  <c r="Y75" i="16"/>
  <c r="Z75" i="16"/>
  <c r="AA75" i="16"/>
  <c r="AB75" i="16"/>
  <c r="AC75" i="16"/>
  <c r="AD75" i="16"/>
  <c r="AE75" i="16"/>
  <c r="H75" i="16"/>
  <c r="I63" i="16"/>
  <c r="J63" i="16"/>
  <c r="K63" i="16"/>
  <c r="L63" i="16"/>
  <c r="M63" i="16"/>
  <c r="N63" i="16"/>
  <c r="O63" i="16"/>
  <c r="P63" i="16"/>
  <c r="Q63" i="16"/>
  <c r="R63" i="16"/>
  <c r="S63" i="16"/>
  <c r="T63" i="16"/>
  <c r="U63" i="16"/>
  <c r="V63" i="16"/>
  <c r="W63" i="16"/>
  <c r="X63" i="16"/>
  <c r="Y63" i="16"/>
  <c r="Z63" i="16"/>
  <c r="AA63" i="16"/>
  <c r="AB63" i="16"/>
  <c r="AC63" i="16"/>
  <c r="AD63" i="16"/>
  <c r="AE63" i="16"/>
  <c r="H63" i="16"/>
  <c r="I51" i="16"/>
  <c r="J51" i="16"/>
  <c r="K51" i="16"/>
  <c r="L51" i="16"/>
  <c r="M51" i="16"/>
  <c r="N51" i="16"/>
  <c r="O51" i="16"/>
  <c r="P51" i="16"/>
  <c r="Q51" i="16"/>
  <c r="R51" i="16"/>
  <c r="S51" i="16"/>
  <c r="T51" i="16"/>
  <c r="U51" i="16"/>
  <c r="V51" i="16"/>
  <c r="W51" i="16"/>
  <c r="X51" i="16"/>
  <c r="Y51" i="16"/>
  <c r="Z51" i="16"/>
  <c r="AA51" i="16"/>
  <c r="AB51" i="16"/>
  <c r="AC51" i="16"/>
  <c r="AD51" i="16"/>
  <c r="AE51" i="16"/>
  <c r="H51" i="16"/>
  <c r="I39" i="16"/>
  <c r="J39" i="16"/>
  <c r="K39" i="16"/>
  <c r="L39" i="16"/>
  <c r="M39" i="16"/>
  <c r="N39" i="16"/>
  <c r="O39" i="16"/>
  <c r="P39" i="16"/>
  <c r="Q39" i="16"/>
  <c r="R39" i="16"/>
  <c r="S39" i="16"/>
  <c r="T39" i="16"/>
  <c r="U39" i="16"/>
  <c r="V39" i="16"/>
  <c r="W39" i="16"/>
  <c r="X39" i="16"/>
  <c r="Y39" i="16"/>
  <c r="Z39" i="16"/>
  <c r="AA39" i="16"/>
  <c r="AB39" i="16"/>
  <c r="AC39" i="16"/>
  <c r="AD39" i="16"/>
  <c r="AE39" i="16"/>
  <c r="H39" i="16"/>
  <c r="I27" i="16"/>
  <c r="J27" i="16"/>
  <c r="K27" i="16"/>
  <c r="L27" i="16"/>
  <c r="M27" i="16"/>
  <c r="N27" i="16"/>
  <c r="O27" i="16"/>
  <c r="P27" i="16"/>
  <c r="Q27" i="16"/>
  <c r="R27" i="16"/>
  <c r="S27" i="16"/>
  <c r="T27" i="16"/>
  <c r="U27" i="16"/>
  <c r="V27" i="16"/>
  <c r="W27" i="16"/>
  <c r="X27" i="16"/>
  <c r="Y27" i="16"/>
  <c r="Z27" i="16"/>
  <c r="AA27" i="16"/>
  <c r="AB27" i="16"/>
  <c r="AC27" i="16"/>
  <c r="AD27" i="16"/>
  <c r="AE27" i="16"/>
  <c r="H27" i="16"/>
  <c r="I15" i="16"/>
  <c r="J15" i="16"/>
  <c r="K15" i="16"/>
  <c r="L15" i="16"/>
  <c r="M15" i="16"/>
  <c r="N15" i="16"/>
  <c r="O15" i="16"/>
  <c r="P15" i="16"/>
  <c r="Q15" i="16"/>
  <c r="R15" i="16"/>
  <c r="S15" i="16"/>
  <c r="T15" i="16"/>
  <c r="U15" i="16"/>
  <c r="V15" i="16"/>
  <c r="W15" i="16"/>
  <c r="X15" i="16"/>
  <c r="Y15" i="16"/>
  <c r="Z15" i="16"/>
  <c r="AA15" i="16"/>
  <c r="AB15" i="16"/>
  <c r="AC15" i="16"/>
  <c r="AD15" i="16"/>
  <c r="AE15" i="16"/>
  <c r="H15" i="16"/>
  <c r="AB20" i="16" l="1"/>
  <c r="Z20" i="16"/>
  <c r="X20" i="16"/>
  <c r="C14" i="16"/>
  <c r="G20" i="16" l="1"/>
  <c r="K20" i="16"/>
  <c r="K104" i="16"/>
  <c r="I92" i="16"/>
  <c r="G80" i="16"/>
  <c r="K128" i="16"/>
  <c r="I116" i="16"/>
  <c r="G104" i="16"/>
  <c r="K32" i="16"/>
  <c r="K140" i="16"/>
  <c r="I128" i="16"/>
  <c r="G116" i="16"/>
  <c r="K44" i="16"/>
  <c r="K152" i="16"/>
  <c r="I140" i="16"/>
  <c r="K56" i="16"/>
  <c r="I44" i="16"/>
  <c r="I152" i="16"/>
  <c r="G140" i="16"/>
  <c r="K68" i="16"/>
  <c r="I56" i="16"/>
  <c r="G44" i="16"/>
  <c r="G152" i="16"/>
  <c r="K80" i="16"/>
  <c r="I68" i="16"/>
  <c r="G56" i="16"/>
  <c r="K92" i="16"/>
  <c r="I80" i="16"/>
  <c r="G68" i="16"/>
  <c r="K116" i="16"/>
  <c r="I104" i="16"/>
  <c r="G92" i="16"/>
  <c r="I32" i="16"/>
  <c r="G128" i="16"/>
  <c r="G32" i="16"/>
  <c r="I113" i="16"/>
  <c r="G41" i="16"/>
  <c r="K77" i="16"/>
  <c r="K125" i="16"/>
  <c r="K101" i="16"/>
  <c r="I41" i="16"/>
  <c r="G53" i="16"/>
  <c r="K113" i="16"/>
  <c r="K41" i="16"/>
  <c r="I53" i="16"/>
  <c r="G89" i="16"/>
  <c r="I89" i="16"/>
  <c r="G65" i="16"/>
  <c r="K137" i="16"/>
  <c r="I149" i="16"/>
  <c r="G137" i="16"/>
  <c r="I29" i="16"/>
  <c r="I65" i="16"/>
  <c r="G77" i="16"/>
  <c r="G101" i="16"/>
  <c r="G125" i="16"/>
  <c r="K149" i="16"/>
  <c r="K53" i="16"/>
  <c r="K89" i="16"/>
  <c r="I137" i="16"/>
  <c r="G149" i="16"/>
  <c r="K29" i="16"/>
  <c r="K65" i="16"/>
  <c r="I77" i="16"/>
  <c r="I101" i="16"/>
  <c r="G113" i="16"/>
  <c r="I125" i="16"/>
  <c r="G29" i="16"/>
  <c r="I20" i="16"/>
  <c r="K17" i="16"/>
  <c r="G17" i="16"/>
  <c r="I17" i="16"/>
  <c r="S18" i="13" l="1"/>
  <c r="H38" i="13" l="1"/>
  <c r="B34" i="13" l="1"/>
  <c r="B19" i="13"/>
  <c r="W18" i="13"/>
  <c r="M27" i="13"/>
  <c r="Q25" i="13" l="1"/>
  <c r="Q40" i="13"/>
  <c r="Q43" i="13"/>
  <c r="Q29" i="13"/>
  <c r="Q28" i="13"/>
  <c r="Q44" i="13"/>
  <c r="V40" i="13"/>
  <c r="V25" i="13"/>
  <c r="B11" i="13"/>
  <c r="I43" i="13"/>
  <c r="K25" i="13"/>
  <c r="G28" i="13"/>
  <c r="K40" i="13"/>
  <c r="I28" i="13"/>
  <c r="K43" i="13"/>
  <c r="G25" i="13"/>
  <c r="G40" i="13"/>
  <c r="I25" i="13"/>
  <c r="K28" i="13"/>
  <c r="G43" i="13"/>
  <c r="I40" i="13"/>
  <c r="H23" i="13"/>
  <c r="I38" i="13"/>
  <c r="J38" i="13"/>
  <c r="K38" i="13"/>
  <c r="L38" i="13"/>
  <c r="M38" i="13"/>
  <c r="N38" i="13"/>
  <c r="O38" i="13"/>
  <c r="P38" i="13"/>
  <c r="Q38" i="13"/>
  <c r="R38" i="13"/>
  <c r="S38" i="13"/>
  <c r="T38" i="13"/>
  <c r="U38" i="13"/>
  <c r="V38" i="13"/>
  <c r="W38" i="13"/>
  <c r="X38" i="13"/>
  <c r="Y38" i="13"/>
  <c r="Z38" i="13"/>
  <c r="AA38" i="13"/>
  <c r="AB38" i="13"/>
  <c r="AC38" i="13"/>
  <c r="AD38" i="13"/>
  <c r="AE38" i="13"/>
  <c r="J8" i="2"/>
  <c r="K8" i="2" l="1"/>
  <c r="L8" i="2" s="1"/>
  <c r="M4" i="13"/>
  <c r="R4" i="13"/>
  <c r="C37" i="13"/>
  <c r="AB28" i="13"/>
  <c r="Z28" i="13"/>
  <c r="X28" i="13"/>
  <c r="V28" i="13"/>
  <c r="AB43" i="13"/>
  <c r="Z43" i="13"/>
  <c r="X43" i="13"/>
  <c r="V43" i="13"/>
  <c r="AR16" i="2"/>
  <c r="AS16" i="2"/>
  <c r="AT16" i="2"/>
  <c r="AU16" i="2"/>
  <c r="AV16" i="2"/>
  <c r="AW16" i="2"/>
  <c r="AX16" i="2"/>
  <c r="AY16" i="2"/>
  <c r="AZ16" i="2"/>
  <c r="BA16" i="2"/>
  <c r="BB16" i="2"/>
  <c r="BC16" i="2"/>
  <c r="BD16" i="2"/>
  <c r="BE16" i="2"/>
  <c r="BF16" i="2"/>
  <c r="BG16" i="2"/>
  <c r="BH16" i="2"/>
  <c r="BI16" i="2"/>
  <c r="BJ16" i="2"/>
  <c r="BK16" i="2"/>
  <c r="BL16" i="2"/>
  <c r="BM16" i="2"/>
  <c r="BN16" i="2"/>
  <c r="BO16" i="2"/>
  <c r="AR17" i="2"/>
  <c r="AS17" i="2"/>
  <c r="AT17" i="2"/>
  <c r="AU17" i="2"/>
  <c r="AV17" i="2"/>
  <c r="AW17" i="2"/>
  <c r="AX17" i="2"/>
  <c r="AY17" i="2"/>
  <c r="AZ17" i="2"/>
  <c r="BA17" i="2"/>
  <c r="BB17" i="2"/>
  <c r="BC17" i="2"/>
  <c r="BD17" i="2"/>
  <c r="BE17" i="2"/>
  <c r="BF17" i="2"/>
  <c r="BG17" i="2"/>
  <c r="BH17" i="2"/>
  <c r="BI17" i="2"/>
  <c r="BJ17" i="2"/>
  <c r="BK17" i="2"/>
  <c r="BN17" i="2"/>
  <c r="BO17" i="2"/>
  <c r="Q4" i="13" l="1"/>
  <c r="BQ17" i="2"/>
  <c r="BQ16" i="2"/>
  <c r="L12" i="2"/>
  <c r="L13" i="2"/>
  <c r="L11" i="2"/>
  <c r="I23" i="13"/>
  <c r="J23" i="13"/>
  <c r="K23" i="13"/>
  <c r="L23" i="13"/>
  <c r="M23" i="13"/>
  <c r="N23" i="13"/>
  <c r="O23" i="13"/>
  <c r="P23" i="13"/>
  <c r="Q23" i="13"/>
  <c r="R23" i="13"/>
  <c r="S23" i="13"/>
  <c r="T23" i="13"/>
  <c r="U23" i="13"/>
  <c r="V23" i="13"/>
  <c r="W23" i="13"/>
  <c r="X23" i="13"/>
  <c r="Y23" i="13"/>
  <c r="Z23" i="13"/>
  <c r="AA23" i="13"/>
  <c r="AB23" i="13"/>
  <c r="AC23" i="13"/>
  <c r="AD23" i="13"/>
  <c r="AE23" i="13"/>
  <c r="H26" i="16" l="1"/>
  <c r="I18" i="13"/>
  <c r="M42" i="13"/>
  <c r="AR2" i="2" l="1"/>
  <c r="T2" i="2" l="1"/>
  <c r="W2" i="2"/>
  <c r="BP16" i="2" l="1"/>
  <c r="BP17" i="2"/>
  <c r="BO2" i="2"/>
  <c r="BN2" i="2"/>
  <c r="BM2" i="2"/>
  <c r="BL2" i="2"/>
  <c r="BK2" i="2"/>
  <c r="BJ2" i="2"/>
  <c r="BI2" i="2"/>
  <c r="BH2" i="2"/>
  <c r="BG2" i="2"/>
  <c r="BF2" i="2"/>
  <c r="BE2" i="2"/>
  <c r="BD2" i="2"/>
  <c r="BC2" i="2"/>
  <c r="BB2" i="2"/>
  <c r="BA2" i="2"/>
  <c r="AZ2" i="2"/>
  <c r="AY2" i="2"/>
  <c r="AX2" i="2"/>
  <c r="AW2" i="2"/>
  <c r="AV2" i="2"/>
  <c r="AU2" i="2"/>
  <c r="AT2" i="2"/>
  <c r="AS2" i="2"/>
  <c r="U2" i="2"/>
  <c r="V2" i="2"/>
  <c r="X2" i="2"/>
  <c r="Y2" i="2"/>
  <c r="Z2" i="2"/>
  <c r="AA2" i="2"/>
  <c r="AB2" i="2"/>
  <c r="AC2" i="2"/>
  <c r="AD2" i="2"/>
  <c r="AE2" i="2"/>
  <c r="AF2" i="2"/>
  <c r="AG2" i="2"/>
  <c r="AH2" i="2"/>
  <c r="AI2" i="2"/>
  <c r="AJ2" i="2"/>
  <c r="AK2" i="2"/>
  <c r="AL2" i="2"/>
  <c r="AM2" i="2"/>
  <c r="AN2" i="2"/>
  <c r="AO2" i="2"/>
  <c r="AP2" i="2"/>
  <c r="AQ2" i="2"/>
  <c r="G18" i="13" l="1"/>
  <c r="C18" i="13" s="1"/>
  <c r="K18" i="13" l="1"/>
  <c r="T6" i="13"/>
  <c r="T4" i="13"/>
  <c r="Q5" i="13"/>
  <c r="T5" i="13" l="1"/>
  <c r="T22" i="13" l="1"/>
  <c r="H22" i="13"/>
  <c r="Q37" i="13"/>
  <c r="S22" i="13"/>
  <c r="R37" i="13"/>
  <c r="R22" i="13"/>
  <c r="S37" i="13"/>
  <c r="Q22" i="13"/>
  <c r="Z37" i="13"/>
  <c r="Y22" i="13"/>
  <c r="V22" i="13"/>
  <c r="K37" i="13"/>
  <c r="AA22" i="13"/>
  <c r="I37" i="13"/>
  <c r="O37" i="13"/>
  <c r="W22" i="13"/>
  <c r="M37" i="13"/>
  <c r="I22" i="13"/>
  <c r="Z22" i="13"/>
  <c r="L22" i="13"/>
  <c r="H37" i="13"/>
  <c r="AB22" i="13"/>
  <c r="V37" i="13"/>
  <c r="W37" i="13"/>
  <c r="U37" i="13"/>
  <c r="Y37" i="13"/>
  <c r="P37" i="13"/>
  <c r="AC22" i="13"/>
  <c r="T37" i="13"/>
  <c r="L37" i="13"/>
  <c r="P22" i="13"/>
  <c r="N37" i="13"/>
  <c r="J22" i="13"/>
  <c r="U22" i="13"/>
  <c r="K22" i="13"/>
  <c r="J37" i="13"/>
  <c r="AD37" i="13"/>
  <c r="AD22" i="13"/>
  <c r="AA37" i="13"/>
  <c r="N22" i="13"/>
  <c r="O22" i="13"/>
  <c r="AC37" i="13"/>
  <c r="X22" i="13"/>
  <c r="M22" i="13"/>
  <c r="AE37" i="13"/>
  <c r="AE22" i="13"/>
  <c r="X37" i="13"/>
  <c r="AB37" i="13"/>
  <c r="R122" i="16"/>
  <c r="M122" i="16"/>
  <c r="AC122" i="16"/>
  <c r="K122" i="16"/>
  <c r="O122" i="16"/>
  <c r="I122" i="16"/>
  <c r="L122" i="16"/>
  <c r="S122" i="16"/>
  <c r="Z122" i="16"/>
  <c r="H122" i="16"/>
  <c r="N122" i="16"/>
  <c r="AB122" i="16"/>
  <c r="U122" i="16"/>
  <c r="Q122" i="16"/>
  <c r="AA122" i="16"/>
  <c r="W122" i="16"/>
  <c r="P122" i="16"/>
  <c r="T122" i="16"/>
  <c r="Y122" i="16"/>
  <c r="AE122" i="16"/>
  <c r="AD122" i="16"/>
  <c r="J122" i="16"/>
  <c r="X122" i="16"/>
  <c r="V122" i="16"/>
  <c r="O26" i="16"/>
  <c r="L26" i="16"/>
  <c r="P26" i="16"/>
  <c r="Q26" i="16"/>
  <c r="Z26" i="16"/>
  <c r="X26" i="16"/>
  <c r="AD26" i="16"/>
  <c r="Y26" i="16"/>
  <c r="S26" i="16"/>
  <c r="I26" i="16"/>
  <c r="T26" i="16"/>
  <c r="J26" i="16"/>
  <c r="R26" i="16"/>
  <c r="AA26" i="16"/>
  <c r="AE26" i="16"/>
  <c r="AB26" i="16"/>
  <c r="K26" i="16"/>
  <c r="N26" i="16"/>
  <c r="AC26" i="16"/>
  <c r="W26" i="16"/>
  <c r="U26" i="16"/>
  <c r="V26" i="16"/>
  <c r="M26" i="16"/>
  <c r="R98" i="16"/>
  <c r="Q98" i="16"/>
  <c r="K98" i="16"/>
  <c r="L98" i="16"/>
  <c r="AB98" i="16"/>
  <c r="N98" i="16"/>
  <c r="H98" i="16"/>
  <c r="J98" i="16"/>
  <c r="Y98" i="16"/>
  <c r="S98" i="16"/>
  <c r="AE98" i="16"/>
  <c r="V98" i="16"/>
  <c r="AD98" i="16"/>
  <c r="M98" i="16"/>
  <c r="W98" i="16"/>
  <c r="T98" i="16"/>
  <c r="O98" i="16"/>
  <c r="AC98" i="16"/>
  <c r="P98" i="16"/>
  <c r="Z98" i="16"/>
  <c r="I98" i="16"/>
  <c r="X98" i="16"/>
  <c r="AA98" i="16"/>
  <c r="U98" i="16"/>
  <c r="R74" i="16"/>
  <c r="K74" i="16"/>
  <c r="Y74" i="16"/>
  <c r="O74" i="16"/>
  <c r="X74" i="16"/>
  <c r="AE74" i="16"/>
  <c r="S74" i="16"/>
  <c r="H74" i="16"/>
  <c r="AB74" i="16"/>
  <c r="W74" i="16"/>
  <c r="N74" i="16"/>
  <c r="Z74" i="16"/>
  <c r="V74" i="16"/>
  <c r="M74" i="16"/>
  <c r="Q74" i="16"/>
  <c r="AD74" i="16"/>
  <c r="T74" i="16"/>
  <c r="AA74" i="16"/>
  <c r="L74" i="16"/>
  <c r="U74" i="16"/>
  <c r="AC74" i="16"/>
  <c r="J74" i="16"/>
  <c r="I74" i="16"/>
  <c r="P74" i="16"/>
  <c r="R50" i="16"/>
  <c r="M50" i="16"/>
  <c r="J50" i="16"/>
  <c r="Y50" i="16"/>
  <c r="AD50" i="16"/>
  <c r="W50" i="16"/>
  <c r="K50" i="16"/>
  <c r="X50" i="16"/>
  <c r="Q50" i="16"/>
  <c r="U50" i="16"/>
  <c r="AB50" i="16"/>
  <c r="AA50" i="16"/>
  <c r="L50" i="16"/>
  <c r="AC50" i="16"/>
  <c r="Z50" i="16"/>
  <c r="T50" i="16"/>
  <c r="P50" i="16"/>
  <c r="I50" i="16"/>
  <c r="V50" i="16"/>
  <c r="H50" i="16"/>
  <c r="S50" i="16"/>
  <c r="O50" i="16"/>
  <c r="AE50" i="16"/>
  <c r="N50" i="16"/>
  <c r="R86" i="16"/>
  <c r="O86" i="16"/>
  <c r="H86" i="16"/>
  <c r="T86" i="16"/>
  <c r="AC86" i="16"/>
  <c r="Q86" i="16"/>
  <c r="J86" i="16"/>
  <c r="AB86" i="16"/>
  <c r="P86" i="16"/>
  <c r="L86" i="16"/>
  <c r="X86" i="16"/>
  <c r="S86" i="16"/>
  <c r="AE86" i="16"/>
  <c r="M86" i="16"/>
  <c r="Z86" i="16"/>
  <c r="AA86" i="16"/>
  <c r="AD86" i="16"/>
  <c r="V86" i="16"/>
  <c r="K86" i="16"/>
  <c r="I86" i="16"/>
  <c r="N86" i="16"/>
  <c r="W86" i="16"/>
  <c r="Y86" i="16"/>
  <c r="U86" i="16"/>
  <c r="R134" i="16"/>
  <c r="AA134" i="16"/>
  <c r="X134" i="16"/>
  <c r="M134" i="16"/>
  <c r="O134" i="16"/>
  <c r="K134" i="16"/>
  <c r="T134" i="16"/>
  <c r="Q134" i="16"/>
  <c r="W134" i="16"/>
  <c r="H134" i="16"/>
  <c r="S134" i="16"/>
  <c r="N134" i="16"/>
  <c r="U134" i="16"/>
  <c r="J134" i="16"/>
  <c r="P134" i="16"/>
  <c r="AD134" i="16"/>
  <c r="AE134" i="16"/>
  <c r="AC134" i="16"/>
  <c r="Y134" i="16"/>
  <c r="L134" i="16"/>
  <c r="Z134" i="16"/>
  <c r="AB134" i="16"/>
  <c r="I134" i="16"/>
  <c r="V134" i="16"/>
  <c r="R38" i="16"/>
  <c r="L38" i="16"/>
  <c r="N38" i="16"/>
  <c r="AE38" i="16"/>
  <c r="V38" i="16"/>
  <c r="U38" i="16"/>
  <c r="I38" i="16"/>
  <c r="T38" i="16"/>
  <c r="Z38" i="16"/>
  <c r="J38" i="16"/>
  <c r="Q38" i="16"/>
  <c r="P38" i="16"/>
  <c r="W38" i="16"/>
  <c r="H38" i="16"/>
  <c r="AC38" i="16"/>
  <c r="Y38" i="16"/>
  <c r="S38" i="16"/>
  <c r="M38" i="16"/>
  <c r="AD38" i="16"/>
  <c r="AB38" i="16"/>
  <c r="X38" i="16"/>
  <c r="AA38" i="16"/>
  <c r="O38" i="16"/>
  <c r="K38" i="16"/>
  <c r="R146" i="16"/>
  <c r="J146" i="16"/>
  <c r="K146" i="16"/>
  <c r="Q146" i="16"/>
  <c r="H146" i="16"/>
  <c r="X146" i="16"/>
  <c r="Z146" i="16"/>
  <c r="AA146" i="16"/>
  <c r="N146" i="16"/>
  <c r="T146" i="16"/>
  <c r="AC146" i="16"/>
  <c r="Y146" i="16"/>
  <c r="S146" i="16"/>
  <c r="M146" i="16"/>
  <c r="U146" i="16"/>
  <c r="V146" i="16"/>
  <c r="AD146" i="16"/>
  <c r="O146" i="16"/>
  <c r="I146" i="16"/>
  <c r="AE146" i="16"/>
  <c r="L146" i="16"/>
  <c r="P146" i="16"/>
  <c r="W146" i="16"/>
  <c r="AB146" i="16"/>
  <c r="R110" i="16"/>
  <c r="AC110" i="16"/>
  <c r="AD110" i="16"/>
  <c r="Z110" i="16"/>
  <c r="T110" i="16"/>
  <c r="AE110" i="16"/>
  <c r="X110" i="16"/>
  <c r="N110" i="16"/>
  <c r="H110" i="16"/>
  <c r="S110" i="16"/>
  <c r="W110" i="16"/>
  <c r="M110" i="16"/>
  <c r="V110" i="16"/>
  <c r="AB110" i="16"/>
  <c r="P110" i="16"/>
  <c r="U110" i="16"/>
  <c r="I110" i="16"/>
  <c r="O110" i="16"/>
  <c r="AA110" i="16"/>
  <c r="J110" i="16"/>
  <c r="Q110" i="16"/>
  <c r="L110" i="16"/>
  <c r="Y110" i="16"/>
  <c r="K110" i="16"/>
  <c r="R62" i="16"/>
  <c r="W62" i="16"/>
  <c r="Z62" i="16"/>
  <c r="AE62" i="16"/>
  <c r="Q62" i="16"/>
  <c r="H62" i="16"/>
  <c r="J62" i="16"/>
  <c r="V62" i="16"/>
  <c r="AC62" i="16"/>
  <c r="K62" i="16"/>
  <c r="T62" i="16"/>
  <c r="P62" i="16"/>
  <c r="O62" i="16"/>
  <c r="I62" i="16"/>
  <c r="X62" i="16"/>
  <c r="U62" i="16"/>
  <c r="S62" i="16"/>
  <c r="AD62" i="16"/>
  <c r="AA62" i="16"/>
  <c r="N62" i="16"/>
  <c r="M62" i="16"/>
  <c r="Y62" i="16"/>
  <c r="AB62" i="16"/>
  <c r="L62" i="16"/>
  <c r="G30" i="16" l="1"/>
  <c r="G26" i="13"/>
  <c r="G27" i="13" s="1"/>
  <c r="Z41" i="13" a="1"/>
  <c r="Z41" i="13" s="1"/>
  <c r="Z42" i="13" s="1"/>
  <c r="Z44" i="13" s="1"/>
  <c r="AB41" i="13" a="1"/>
  <c r="AB41" i="13" s="1"/>
  <c r="AB42" i="13" s="1"/>
  <c r="AB44" i="13" s="1"/>
  <c r="X41" i="13" a="1"/>
  <c r="X41" i="13" s="1"/>
  <c r="I114" i="16"/>
  <c r="I115" i="16" s="1"/>
  <c r="I90" i="16"/>
  <c r="I91" i="16" s="1"/>
  <c r="I30" i="16"/>
  <c r="I31" i="16" s="1"/>
  <c r="X30" i="16" a="1"/>
  <c r="X30" i="16" s="1"/>
  <c r="Z30" i="16" a="1"/>
  <c r="Z30" i="16" s="1"/>
  <c r="AB30" i="16" a="1"/>
  <c r="AB30" i="16" s="1"/>
  <c r="I66" i="16"/>
  <c r="I67" i="16" s="1"/>
  <c r="G54" i="16"/>
  <c r="AB54" i="16" a="1"/>
  <c r="AB54" i="16" s="1"/>
  <c r="Z54" i="16" a="1"/>
  <c r="Z54" i="16" s="1"/>
  <c r="X54" i="16" a="1"/>
  <c r="X54" i="16" s="1"/>
  <c r="I54" i="16"/>
  <c r="I55" i="16" s="1"/>
  <c r="X78" i="16" a="1"/>
  <c r="X78" i="16" s="1"/>
  <c r="Z78" i="16" a="1"/>
  <c r="Z78" i="16" s="1"/>
  <c r="G78" i="16"/>
  <c r="AB78" i="16" a="1"/>
  <c r="AB78" i="16" s="1"/>
  <c r="G102" i="16"/>
  <c r="X102" i="16" a="1"/>
  <c r="X102" i="16" s="1"/>
  <c r="Z102" i="16" a="1"/>
  <c r="Z102" i="16" s="1"/>
  <c r="AB102" i="16" a="1"/>
  <c r="AB102" i="16" s="1"/>
  <c r="AB66" i="16" a="1"/>
  <c r="AB66" i="16" s="1"/>
  <c r="G66" i="16"/>
  <c r="X66" i="16" a="1"/>
  <c r="X66" i="16" s="1"/>
  <c r="Z66" i="16" a="1"/>
  <c r="Z66" i="16" s="1"/>
  <c r="X42" i="16" a="1"/>
  <c r="X42" i="16" s="1"/>
  <c r="Z42" i="16" a="1"/>
  <c r="Z42" i="16" s="1"/>
  <c r="AB42" i="16" a="1"/>
  <c r="AB42" i="16" s="1"/>
  <c r="G42" i="16"/>
  <c r="I42" i="16"/>
  <c r="I43" i="16" s="1"/>
  <c r="I150" i="16"/>
  <c r="I151" i="16" s="1"/>
  <c r="AB150" i="16" a="1"/>
  <c r="AB150" i="16" s="1"/>
  <c r="Z150" i="16" a="1"/>
  <c r="Z150" i="16" s="1"/>
  <c r="X150" i="16" a="1"/>
  <c r="X150" i="16" s="1"/>
  <c r="G150" i="16"/>
  <c r="Z90" i="16" a="1"/>
  <c r="Z90" i="16" s="1"/>
  <c r="X90" i="16" a="1"/>
  <c r="X90" i="16" s="1"/>
  <c r="AB90" i="16" a="1"/>
  <c r="AB90" i="16" s="1"/>
  <c r="G90" i="16"/>
  <c r="I78" i="16"/>
  <c r="I79" i="16" s="1"/>
  <c r="I126" i="16"/>
  <c r="I127" i="16" s="1"/>
  <c r="I102" i="16"/>
  <c r="I103" i="16" s="1"/>
  <c r="X138" i="16" a="1"/>
  <c r="X138" i="16" s="1"/>
  <c r="AB138" i="16" a="1"/>
  <c r="AB138" i="16" s="1"/>
  <c r="I138" i="16"/>
  <c r="I139" i="16" s="1"/>
  <c r="Z138" i="16" a="1"/>
  <c r="Z138" i="16" s="1"/>
  <c r="G138" i="16"/>
  <c r="AB126" i="16" a="1"/>
  <c r="AB126" i="16" s="1"/>
  <c r="X126" i="16" a="1"/>
  <c r="X126" i="16" s="1"/>
  <c r="G126" i="16"/>
  <c r="Z126" i="16" a="1"/>
  <c r="Z126" i="16" s="1"/>
  <c r="K30" i="16"/>
  <c r="K66" i="16"/>
  <c r="G114" i="16"/>
  <c r="X114" i="16" a="1"/>
  <c r="X114" i="16" s="1"/>
  <c r="Z114" i="16" a="1"/>
  <c r="Z114" i="16" s="1"/>
  <c r="AB114" i="16" a="1"/>
  <c r="AB114" i="16" s="1"/>
  <c r="K114" i="16"/>
  <c r="K150" i="16"/>
  <c r="K42" i="16"/>
  <c r="K138" i="16"/>
  <c r="K90" i="16"/>
  <c r="K54" i="16"/>
  <c r="K78" i="16"/>
  <c r="K102" i="16"/>
  <c r="K126" i="16"/>
  <c r="V41" i="13" l="1"/>
  <c r="V150" i="16"/>
  <c r="V30" i="16"/>
  <c r="V54" i="16"/>
  <c r="V78" i="16"/>
  <c r="V42" i="16"/>
  <c r="V102" i="16"/>
  <c r="V126" i="16"/>
  <c r="V66" i="16"/>
  <c r="V114" i="16"/>
  <c r="V138" i="16"/>
  <c r="V90" i="16"/>
  <c r="X139" i="16"/>
  <c r="T138" i="16"/>
  <c r="X103" i="16"/>
  <c r="T102" i="16"/>
  <c r="X151" i="16"/>
  <c r="T150" i="16"/>
  <c r="X55" i="16"/>
  <c r="T54" i="16"/>
  <c r="X127" i="16"/>
  <c r="T126" i="16"/>
  <c r="X67" i="16"/>
  <c r="T66" i="16"/>
  <c r="X115" i="16"/>
  <c r="T114" i="16"/>
  <c r="X79" i="16"/>
  <c r="T78" i="16"/>
  <c r="X91" i="16"/>
  <c r="T90" i="16"/>
  <c r="G151" i="16"/>
  <c r="G153" i="16" s="1"/>
  <c r="G103" i="16"/>
  <c r="G105" i="16" s="1"/>
  <c r="G115" i="16"/>
  <c r="G117" i="16" s="1"/>
  <c r="G55" i="16"/>
  <c r="G57" i="16" s="1"/>
  <c r="G127" i="16"/>
  <c r="G129" i="16" s="1"/>
  <c r="G79" i="16"/>
  <c r="G81" i="16" s="1"/>
  <c r="G91" i="16"/>
  <c r="G93" i="16" s="1"/>
  <c r="G67" i="16"/>
  <c r="G69" i="16" s="1"/>
  <c r="G31" i="16"/>
  <c r="G33" i="16" s="1"/>
  <c r="G139" i="16"/>
  <c r="G141" i="16" s="1"/>
  <c r="G43" i="16"/>
  <c r="G45" i="16" s="1"/>
  <c r="X31" i="16"/>
  <c r="T30" i="16"/>
  <c r="X43" i="16"/>
  <c r="T42" i="16"/>
  <c r="X42" i="13"/>
  <c r="T41" i="13"/>
  <c r="I129" i="16"/>
  <c r="I45" i="16"/>
  <c r="I57" i="16"/>
  <c r="I141" i="16"/>
  <c r="I93" i="16"/>
  <c r="I105" i="16"/>
  <c r="I153" i="16"/>
  <c r="I33" i="16"/>
  <c r="I117" i="16"/>
  <c r="I81" i="16"/>
  <c r="I69" i="16"/>
  <c r="K31" i="16"/>
  <c r="K33" i="16" s="1"/>
  <c r="K127" i="16"/>
  <c r="K129" i="16" s="1"/>
  <c r="AB91" i="16"/>
  <c r="AB93" i="16" s="1"/>
  <c r="AB31" i="16"/>
  <c r="AB33" i="16" s="1"/>
  <c r="AB103" i="16"/>
  <c r="AB105" i="16" s="1"/>
  <c r="Z31" i="16"/>
  <c r="Z33" i="16" s="1"/>
  <c r="Z91" i="16"/>
  <c r="Z93" i="16" s="1"/>
  <c r="AB43" i="16"/>
  <c r="AB45" i="16" s="1"/>
  <c r="Z103" i="16"/>
  <c r="Z105" i="16" s="1"/>
  <c r="Z79" i="16"/>
  <c r="Z81" i="16" s="1"/>
  <c r="AB127" i="16"/>
  <c r="AB129" i="16" s="1"/>
  <c r="AB67" i="16"/>
  <c r="AB69" i="16" s="1"/>
  <c r="AB55" i="16"/>
  <c r="AB57" i="16" s="1"/>
  <c r="AB115" i="16"/>
  <c r="AB117" i="16" s="1"/>
  <c r="Z139" i="16"/>
  <c r="Z141" i="16" s="1"/>
  <c r="Z43" i="16"/>
  <c r="Z45" i="16" s="1"/>
  <c r="Z127" i="16"/>
  <c r="Z129" i="16" s="1"/>
  <c r="AB139" i="16"/>
  <c r="AB141" i="16" s="1"/>
  <c r="Z151" i="16"/>
  <c r="Z153" i="16" s="1"/>
  <c r="Z67" i="16"/>
  <c r="Z69" i="16" s="1"/>
  <c r="AB79" i="16"/>
  <c r="AB81" i="16" s="1"/>
  <c r="Z115" i="16"/>
  <c r="Z117" i="16" s="1"/>
  <c r="Z55" i="16"/>
  <c r="Z57" i="16" s="1"/>
  <c r="AB151" i="16"/>
  <c r="AB153" i="16" s="1"/>
  <c r="V139" i="16" l="1"/>
  <c r="V141" i="16" s="1"/>
  <c r="V42" i="13"/>
  <c r="V44" i="13" s="1"/>
  <c r="V43" i="16"/>
  <c r="V45" i="16" s="1"/>
  <c r="V55" i="16"/>
  <c r="V57" i="16" s="1"/>
  <c r="V31" i="16"/>
  <c r="V33" i="16" s="1"/>
  <c r="V79" i="16"/>
  <c r="V81" i="16" s="1"/>
  <c r="V115" i="16"/>
  <c r="V117" i="16" s="1"/>
  <c r="V151" i="16"/>
  <c r="V153" i="16" s="1"/>
  <c r="V127" i="16"/>
  <c r="V129" i="16" s="1"/>
  <c r="V67" i="16"/>
  <c r="V69" i="16" s="1"/>
  <c r="V103" i="16"/>
  <c r="V105" i="16" s="1"/>
  <c r="V91" i="16"/>
  <c r="V93" i="16" s="1"/>
  <c r="X81" i="16"/>
  <c r="T79" i="16"/>
  <c r="T81" i="16" s="1"/>
  <c r="X57" i="16"/>
  <c r="T55" i="16"/>
  <c r="T57" i="16" s="1"/>
  <c r="X117" i="16"/>
  <c r="T115" i="16"/>
  <c r="T117" i="16" s="1"/>
  <c r="X153" i="16"/>
  <c r="T151" i="16"/>
  <c r="T153" i="16" s="1"/>
  <c r="X69" i="16"/>
  <c r="T67" i="16"/>
  <c r="T69" i="16" s="1"/>
  <c r="X105" i="16"/>
  <c r="T103" i="16"/>
  <c r="T105" i="16" s="1"/>
  <c r="X93" i="16"/>
  <c r="T91" i="16"/>
  <c r="T93" i="16" s="1"/>
  <c r="X129" i="16"/>
  <c r="T127" i="16"/>
  <c r="T129" i="16" s="1"/>
  <c r="X141" i="16"/>
  <c r="T139" i="16"/>
  <c r="T141" i="16" s="1"/>
  <c r="K91" i="16"/>
  <c r="K93" i="16" s="1"/>
  <c r="M93" i="16" s="1"/>
  <c r="K67" i="16"/>
  <c r="K69" i="16" s="1"/>
  <c r="M69" i="16" s="1"/>
  <c r="K103" i="16"/>
  <c r="K105" i="16" s="1"/>
  <c r="M105" i="16" s="1"/>
  <c r="K115" i="16"/>
  <c r="K117" i="16" s="1"/>
  <c r="M117" i="16" s="1"/>
  <c r="K151" i="16"/>
  <c r="K153" i="16" s="1"/>
  <c r="M153" i="16" s="1"/>
  <c r="K43" i="16"/>
  <c r="K45" i="16" s="1"/>
  <c r="M45" i="16" s="1"/>
  <c r="K55" i="16"/>
  <c r="K57" i="16" s="1"/>
  <c r="M57" i="16" s="1"/>
  <c r="K139" i="16"/>
  <c r="K141" i="16" s="1"/>
  <c r="M141" i="16" s="1"/>
  <c r="K79" i="16"/>
  <c r="K81" i="16" s="1"/>
  <c r="M81" i="16" s="1"/>
  <c r="X45" i="16"/>
  <c r="T43" i="16"/>
  <c r="T45" i="16" s="1"/>
  <c r="T31" i="16"/>
  <c r="T33" i="16" s="1"/>
  <c r="X44" i="13"/>
  <c r="T42" i="13"/>
  <c r="T44" i="13" s="1"/>
  <c r="M33" i="16"/>
  <c r="M129" i="16"/>
  <c r="X33" i="16"/>
  <c r="I26" i="13"/>
  <c r="I27" i="13" s="1"/>
  <c r="K26" i="13"/>
  <c r="Z26" i="13" a="1"/>
  <c r="Z26" i="13" s="1"/>
  <c r="Z27" i="13" s="1"/>
  <c r="X26" i="13" a="1"/>
  <c r="X26" i="13" s="1"/>
  <c r="I41" i="13"/>
  <c r="I42" i="13" s="1"/>
  <c r="I44" i="13" s="1"/>
  <c r="K41" i="13"/>
  <c r="G41" i="13"/>
  <c r="G42" i="13" s="1"/>
  <c r="AB26" i="13" a="1"/>
  <c r="AB26" i="13" s="1"/>
  <c r="AB27" i="13" s="1"/>
  <c r="AB29" i="13" s="1"/>
  <c r="AD44" i="13" l="1"/>
  <c r="V26" i="13"/>
  <c r="AD93" i="16"/>
  <c r="W83" i="16" s="1"/>
  <c r="AD83" i="16" s="1"/>
  <c r="AD117" i="16"/>
  <c r="W107" i="16" s="1"/>
  <c r="AD107" i="16" s="1"/>
  <c r="AD69" i="16"/>
  <c r="W59" i="16" s="1"/>
  <c r="AD59" i="16" s="1"/>
  <c r="AD57" i="16"/>
  <c r="W47" i="16" s="1"/>
  <c r="AD47" i="16" s="1"/>
  <c r="AD105" i="16"/>
  <c r="W95" i="16" s="1"/>
  <c r="AD95" i="16" s="1"/>
  <c r="AD81" i="16"/>
  <c r="W71" i="16" s="1"/>
  <c r="AB71" i="16" s="1"/>
  <c r="AD141" i="16"/>
  <c r="W131" i="16" s="1"/>
  <c r="AD131" i="16" s="1"/>
  <c r="AD153" i="16"/>
  <c r="W143" i="16" s="1"/>
  <c r="AD129" i="16"/>
  <c r="W119" i="16" s="1"/>
  <c r="AD33" i="16"/>
  <c r="W23" i="16" s="1"/>
  <c r="K42" i="13"/>
  <c r="K27" i="13"/>
  <c r="AD45" i="16"/>
  <c r="W35" i="16" s="1"/>
  <c r="X27" i="13"/>
  <c r="T26" i="13"/>
  <c r="Z29" i="13"/>
  <c r="T27" i="13" l="1"/>
  <c r="T29" i="13" s="1"/>
  <c r="P3" i="13"/>
  <c r="V27" i="13"/>
  <c r="AB131" i="16"/>
  <c r="AB47" i="16"/>
  <c r="AB143" i="16"/>
  <c r="AD143" i="16"/>
  <c r="AB119" i="16"/>
  <c r="AD119" i="16"/>
  <c r="AB95" i="16"/>
  <c r="AB107" i="16"/>
  <c r="AB83" i="16"/>
  <c r="AD71" i="16"/>
  <c r="AD23" i="16"/>
  <c r="AB23" i="16"/>
  <c r="AD35" i="16"/>
  <c r="AB35" i="16"/>
  <c r="AB59" i="16"/>
  <c r="G44" i="13"/>
  <c r="X29" i="13"/>
  <c r="K44" i="13" l="1"/>
  <c r="M44" i="13" s="1"/>
  <c r="V29" i="13"/>
  <c r="AD29" i="13" s="1"/>
  <c r="I29" i="13"/>
  <c r="K29" i="13"/>
  <c r="G29" i="13"/>
  <c r="Z46" i="13" l="1"/>
  <c r="AD46" i="13" s="1"/>
  <c r="M29" i="13"/>
  <c r="Z31" i="13" s="1"/>
  <c r="AD31" i="13" s="1"/>
  <c r="N9" i="13" l="1"/>
  <c r="N10" i="13" s="1"/>
  <c r="I14" i="16" l="1"/>
  <c r="O14" i="16"/>
  <c r="X14" i="16"/>
  <c r="U14" i="16" l="1"/>
  <c r="AA14" i="16"/>
  <c r="AC14" i="16"/>
  <c r="K14" i="16"/>
  <c r="P14" i="16"/>
  <c r="V14" i="16"/>
  <c r="W14" i="16"/>
  <c r="Q14" i="16"/>
  <c r="T14" i="16"/>
  <c r="L14" i="16"/>
  <c r="Y14" i="16"/>
  <c r="R14" i="16"/>
  <c r="N14" i="16"/>
  <c r="AB14" i="16"/>
  <c r="Z14" i="16"/>
  <c r="M14" i="16"/>
  <c r="H14" i="16"/>
  <c r="AD14" i="16"/>
  <c r="J14" i="16"/>
  <c r="AE14" i="16"/>
  <c r="S14" i="16"/>
  <c r="G18" i="16" l="1"/>
  <c r="G19" i="16" s="1"/>
  <c r="X18" i="16" a="1"/>
  <c r="X18" i="16" s="1"/>
  <c r="I18" i="16"/>
  <c r="I19" i="16" s="1"/>
  <c r="I21" i="16" s="1"/>
  <c r="AB18" i="16" a="1"/>
  <c r="AB18" i="16" s="1"/>
  <c r="AB19" i="16" s="1"/>
  <c r="AB21" i="16" s="1"/>
  <c r="Z18" i="16" a="1"/>
  <c r="Z18" i="16" s="1"/>
  <c r="Z19" i="16" s="1"/>
  <c r="Z21" i="16" s="1"/>
  <c r="K18" i="16"/>
  <c r="K19" i="16" s="1"/>
  <c r="K21" i="16" s="1"/>
  <c r="V18" i="16" l="1"/>
  <c r="G21" i="16"/>
  <c r="M21" i="16" s="1"/>
  <c r="T18" i="16"/>
  <c r="X19" i="16"/>
  <c r="V19" i="16" s="1"/>
  <c r="T19" i="16" l="1"/>
  <c r="T21" i="16" s="1"/>
  <c r="S2" i="16"/>
  <c r="T2" i="16" s="1"/>
  <c r="X21" i="16"/>
  <c r="V21" i="16" l="1"/>
  <c r="AD21" i="16" s="1"/>
  <c r="W11" i="16" s="1"/>
  <c r="AB11" i="16" l="1"/>
  <c r="M6" i="16"/>
  <c r="AD11" i="16"/>
  <c r="M7" i="16"/>
</calcChain>
</file>

<file path=xl/comments1.xml><?xml version="1.0" encoding="utf-8"?>
<comments xmlns="http://schemas.openxmlformats.org/spreadsheetml/2006/main">
  <authors>
    <author>Paul Ameja</author>
  </authors>
  <commentList>
    <comment ref="B33" authorId="0" shapeId="0">
      <text>
        <r>
          <rPr>
            <sz val="9"/>
            <color indexed="81"/>
            <rFont val="Tahoma"/>
            <family val="2"/>
          </rPr>
          <t>Anaheim GS-1 charges $126.20 for all demand below 15 kW.  This has been modeled by adjusting the meter fee downwards resulting in a negative meter fee.
46.97 + 126.2 - 15*12.27 = -10.88</t>
        </r>
      </text>
    </comment>
    <comment ref="B34" authorId="0" shapeId="0">
      <text>
        <r>
          <rPr>
            <sz val="9"/>
            <color indexed="81"/>
            <rFont val="Tahoma"/>
            <family val="2"/>
          </rPr>
          <t>Anaheim GS-2 charges $2769.00 for all demand below 200 kW.  This has been modelled by adjusting the meter fee downward resulting in a negative meter fee.
360.91 + 2769 - 200*15.65 = -0.09</t>
        </r>
      </text>
    </comment>
    <comment ref="CH34" authorId="0" shapeId="0">
      <text>
        <r>
          <rPr>
            <sz val="9"/>
            <color indexed="81"/>
            <rFont val="Tahoma"/>
            <family val="2"/>
          </rPr>
          <t xml:space="preserve">The tier limit is set at 540kWh*the kW of demand, the 200kW is an estimate
</t>
        </r>
      </text>
    </comment>
    <comment ref="B42" authorId="0" shapeId="0">
      <text>
        <r>
          <rPr>
            <sz val="9"/>
            <color indexed="81"/>
            <rFont val="Tahoma"/>
            <family val="2"/>
          </rPr>
          <t>Modesto GS-2 charges no demand fee below 20 kW.  This has been modeled by adjusting the meter fee downwards resulting in a negative meter fee.
$45 - 20* 10.31 = -$161.20</t>
        </r>
      </text>
    </comment>
  </commentList>
</comments>
</file>

<file path=xl/sharedStrings.xml><?xml version="1.0" encoding="utf-8"?>
<sst xmlns="http://schemas.openxmlformats.org/spreadsheetml/2006/main" count="3487" uniqueCount="372">
  <si>
    <t>Summer</t>
  </si>
  <si>
    <t>Winter</t>
  </si>
  <si>
    <t>Maximum</t>
  </si>
  <si>
    <t>Charging Strategy</t>
  </si>
  <si>
    <t>Summer Demand $/kW</t>
  </si>
  <si>
    <t>Winter Demand $/kW</t>
  </si>
  <si>
    <t>Months</t>
  </si>
  <si>
    <t>Meter</t>
  </si>
  <si>
    <t>Peak</t>
  </si>
  <si>
    <t>Mid Peak</t>
  </si>
  <si>
    <t>Off Peak</t>
  </si>
  <si>
    <t>Fee/Mo</t>
  </si>
  <si>
    <t>Total</t>
  </si>
  <si>
    <t>Description</t>
  </si>
  <si>
    <t>/kWh</t>
  </si>
  <si>
    <t>N/A</t>
  </si>
  <si>
    <t>Enter user information on "Input Tab at bottom of Utility Rate Table.</t>
  </si>
  <si>
    <t>User Input Utility Rate</t>
  </si>
  <si>
    <t>Rate</t>
  </si>
  <si>
    <t>Rate Schedule Table</t>
  </si>
  <si>
    <t>p</t>
  </si>
  <si>
    <t>m</t>
  </si>
  <si>
    <t>o</t>
  </si>
  <si>
    <t>Lower</t>
  </si>
  <si>
    <t>Upper</t>
  </si>
  <si>
    <t>Min Service kW</t>
  </si>
  <si>
    <t>Max Service kW</t>
  </si>
  <si>
    <t>General service rate</t>
  </si>
  <si>
    <t>Service above 500 kW</t>
  </si>
  <si>
    <t>Service from 20 to 500 kW</t>
  </si>
  <si>
    <t>Service above 1000 kW</t>
  </si>
  <si>
    <t>Service from 500 to 1000 kW</t>
  </si>
  <si>
    <t>Service from 300 to 500 kW</t>
  </si>
  <si>
    <t>Tier 1</t>
  </si>
  <si>
    <t>Tier2</t>
  </si>
  <si>
    <t>$/kWh</t>
  </si>
  <si>
    <t>Tariff</t>
  </si>
  <si>
    <t>Tier</t>
  </si>
  <si>
    <t>Type</t>
  </si>
  <si>
    <t>TOU</t>
  </si>
  <si>
    <t>Rate Type</t>
  </si>
  <si>
    <t>Charger Rating kW</t>
  </si>
  <si>
    <t>Service Capacity (kW)</t>
  </si>
  <si>
    <t>Eff. Date of</t>
  </si>
  <si>
    <t>J</t>
  </si>
  <si>
    <t>F</t>
  </si>
  <si>
    <t>M</t>
  </si>
  <si>
    <t>A</t>
  </si>
  <si>
    <t>Ju</t>
  </si>
  <si>
    <t>Au</t>
  </si>
  <si>
    <t>S</t>
  </si>
  <si>
    <t>O</t>
  </si>
  <si>
    <t>N</t>
  </si>
  <si>
    <t>D</t>
  </si>
  <si>
    <t>Summer Rate Months = 1</t>
  </si>
  <si>
    <t>Off-Peak</t>
  </si>
  <si>
    <t>User input charging period 1</t>
  </si>
  <si>
    <t>User input charging period 2</t>
  </si>
  <si>
    <t>Max Bus/</t>
  </si>
  <si>
    <t>Annual Electricity Cost</t>
  </si>
  <si>
    <t>On-Peak</t>
  </si>
  <si>
    <t>Mid-Peak</t>
  </si>
  <si>
    <t>Service below 500 kW</t>
  </si>
  <si>
    <t>EV charging from 20 to 500 kW</t>
  </si>
  <si>
    <t>Municipal service above 35 kW</t>
  </si>
  <si>
    <t>Municipal service at any power level</t>
  </si>
  <si>
    <t>Rating kW</t>
  </si>
  <si>
    <t>Modesto (MID) GS-2 (20-1000 kW)</t>
  </si>
  <si>
    <t>Modesto (MID) GS-3 (Above 1000 kW)</t>
  </si>
  <si>
    <t>PG&amp;E A-10 (Below 500 kW)</t>
  </si>
  <si>
    <t>Roseville Electric GS-4 (Above 1000 kW)</t>
  </si>
  <si>
    <t>SCE EV-4 (EV 20-500 kW)</t>
  </si>
  <si>
    <t>Roseville Electric GS-2 (20-500 kW)</t>
  </si>
  <si>
    <t>Roseville Electric GS-3 (501-1000 kW)</t>
  </si>
  <si>
    <t>12p</t>
  </si>
  <si>
    <t>1p</t>
  </si>
  <si>
    <t>2p</t>
  </si>
  <si>
    <t>3p</t>
  </si>
  <si>
    <t>4p</t>
  </si>
  <si>
    <t>5p</t>
  </si>
  <si>
    <t>6p</t>
  </si>
  <si>
    <t>7p</t>
  </si>
  <si>
    <t>8p</t>
  </si>
  <si>
    <t>9p</t>
  </si>
  <si>
    <t>10p</t>
  </si>
  <si>
    <t>11p</t>
  </si>
  <si>
    <t>12a</t>
  </si>
  <si>
    <t>1a</t>
  </si>
  <si>
    <t>2a</t>
  </si>
  <si>
    <t>3a</t>
  </si>
  <si>
    <t>4a</t>
  </si>
  <si>
    <t>5a</t>
  </si>
  <si>
    <t>6a</t>
  </si>
  <si>
    <t>7a</t>
  </si>
  <si>
    <t>8a</t>
  </si>
  <si>
    <t>9a</t>
  </si>
  <si>
    <t>10a</t>
  </si>
  <si>
    <t>11a</t>
  </si>
  <si>
    <t>$/mile</t>
  </si>
  <si>
    <t>SCE TOU-8 Option B (Above 500 kW)</t>
  </si>
  <si>
    <t>Energy Rate ($/kWh)</t>
  </si>
  <si>
    <t>Energy Use (kWh)</t>
  </si>
  <si>
    <t>Energy Fee (kWh x $/kWh)</t>
  </si>
  <si>
    <t>Energy Distribution</t>
  </si>
  <si>
    <t>Demand by Period</t>
  </si>
  <si>
    <t>Cost/kWh =</t>
  </si>
  <si>
    <t>Lookup Value</t>
  </si>
  <si>
    <t>Demand (kW)</t>
  </si>
  <si>
    <t>Chargers at Location</t>
  </si>
  <si>
    <t>Max Vehicles/Charger</t>
  </si>
  <si>
    <t>Depot = 1</t>
  </si>
  <si>
    <t>OnRoute=0</t>
  </si>
  <si>
    <t>Chg Min/</t>
  </si>
  <si>
    <t>15 min</t>
  </si>
  <si>
    <t>Demand kW</t>
  </si>
  <si>
    <t>Software</t>
  </si>
  <si>
    <t>Fast Charge Demand Adjustment</t>
  </si>
  <si>
    <t>Depot Lowest Constant Demand Adjustment</t>
  </si>
  <si>
    <t>Adjustment</t>
  </si>
  <si>
    <t>chg time in schedule</t>
  </si>
  <si>
    <t>chg time/bus needed</t>
  </si>
  <si>
    <t>Chg rating</t>
  </si>
  <si>
    <t>lower demand</t>
  </si>
  <si>
    <t>TOU Periods</t>
  </si>
  <si>
    <t>Charge/hr</t>
  </si>
  <si>
    <t>User Charge Strategy 2</t>
  </si>
  <si>
    <t>User Charge Strategy 1</t>
  </si>
  <si>
    <t>User Charge Strategy 3</t>
  </si>
  <si>
    <t>Charger Selection</t>
  </si>
  <si>
    <t>100 kW</t>
  </si>
  <si>
    <t xml:space="preserve"> 40 kW</t>
  </si>
  <si>
    <t xml:space="preserve"> 60 kW</t>
  </si>
  <si>
    <t xml:space="preserve"> 80 kW</t>
  </si>
  <si>
    <t>Charger Efficiency</t>
  </si>
  <si>
    <t>Charging Type</t>
  </si>
  <si>
    <t>Chg Time</t>
  </si>
  <si>
    <t>Tier 3</t>
  </si>
  <si>
    <t>Summer On-Peak=p/Mid=m/Off-Peak=o Periods</t>
  </si>
  <si>
    <t>Winter On-Peak=p/Mid=m/Off-Peak=o Periods</t>
  </si>
  <si>
    <t>Summer $/kWh</t>
  </si>
  <si>
    <t>Tier 2</t>
  </si>
  <si>
    <t>Winter $/kWh</t>
  </si>
  <si>
    <t>Summer kWh Limit</t>
  </si>
  <si>
    <t>Winter kWh Limit</t>
  </si>
  <si>
    <t>Summer Mo</t>
  </si>
  <si>
    <t>Imperial ID PM (Any kW) Muni</t>
  </si>
  <si>
    <t>Imperial ID GL (Above 100 kW)</t>
  </si>
  <si>
    <t>General service above 100 kW</t>
  </si>
  <si>
    <t>TOU Summer Usage $/kWh</t>
  </si>
  <si>
    <t>SMUD GS-TOU1 (Above 1000 kW)</t>
  </si>
  <si>
    <t>Turlock ID MD (35 kW and Over)</t>
  </si>
  <si>
    <t>User Charger 1</t>
  </si>
  <si>
    <t>User Charger 2</t>
  </si>
  <si>
    <t>Utility Rate Schedule</t>
  </si>
  <si>
    <t>Summer Time of Use Period --&gt;</t>
  </si>
  <si>
    <t>Winter Time of Use Period --&gt;</t>
  </si>
  <si>
    <t>LADWP A-2(B) TOU (&gt;30 kW)</t>
  </si>
  <si>
    <t>From 20 to 1000 kW, 10% municipal discount (GS-PAC)</t>
  </si>
  <si>
    <t>Above 1000 kW, 10% municipal discount (GS-PAC)</t>
  </si>
  <si>
    <t>SMUD GS-TOU2 (500-1000 kW)</t>
  </si>
  <si>
    <t>SMUD GS-TOU3 (300-500 kW)</t>
  </si>
  <si>
    <t>Summer Month Energy Use</t>
  </si>
  <si>
    <t>Winter Month Energy Use</t>
  </si>
  <si>
    <t>PG&amp;E E-20 (&gt;1000 kW)</t>
  </si>
  <si>
    <t>PG&amp;E E-19 (500-1000 kW)</t>
  </si>
  <si>
    <t>Vehicles at Meter Location</t>
  </si>
  <si>
    <t>Daily Miles per Vehicle</t>
  </si>
  <si>
    <t>March</t>
  </si>
  <si>
    <t>May</t>
  </si>
  <si>
    <t>June</t>
  </si>
  <si>
    <t>July</t>
  </si>
  <si>
    <t>January</t>
  </si>
  <si>
    <t>Daily Miles</t>
  </si>
  <si>
    <t>mi./day</t>
  </si>
  <si>
    <t>January Time of Use Period --&gt;</t>
  </si>
  <si>
    <t>January Month Energy Use</t>
  </si>
  <si>
    <t>February</t>
  </si>
  <si>
    <t>February Time of Use Period --&gt;</t>
  </si>
  <si>
    <t>March Time of Use Period --&gt;</t>
  </si>
  <si>
    <t>February Month Energy Use</t>
  </si>
  <si>
    <t>March Month Energy Use</t>
  </si>
  <si>
    <t>April</t>
  </si>
  <si>
    <t>April Time of Use Period --&gt;</t>
  </si>
  <si>
    <t>April Month Energy Use</t>
  </si>
  <si>
    <t>May Time of Use Period --&gt;</t>
  </si>
  <si>
    <t>May Month Energy Use</t>
  </si>
  <si>
    <t>June Time of Use Period --&gt;</t>
  </si>
  <si>
    <t>June Month Energy Use</t>
  </si>
  <si>
    <t>July Time of Use Period --&gt;</t>
  </si>
  <si>
    <t>July Month Energy Use</t>
  </si>
  <si>
    <t>August</t>
  </si>
  <si>
    <t>August Time of Use Period --&gt;</t>
  </si>
  <si>
    <t>August Month Energy Use</t>
  </si>
  <si>
    <t>September</t>
  </si>
  <si>
    <t>September Time of Use Period --&gt;</t>
  </si>
  <si>
    <t>September Month Energy Use</t>
  </si>
  <si>
    <t>October</t>
  </si>
  <si>
    <t>October Time of Use Period --&gt;</t>
  </si>
  <si>
    <t>October Month Energy Use</t>
  </si>
  <si>
    <t>November</t>
  </si>
  <si>
    <t>November Time of Use Period --&gt;</t>
  </si>
  <si>
    <t>November Month Energy Use</t>
  </si>
  <si>
    <t>December</t>
  </si>
  <si>
    <t>December Time of Use Period --&gt;</t>
  </si>
  <si>
    <t>December Month Energy Use</t>
  </si>
  <si>
    <t>Energy Usage</t>
  </si>
  <si>
    <t>kWh/mi.</t>
  </si>
  <si>
    <t>Service for more than 8,000 kWh per month at less than 4,000 kW</t>
  </si>
  <si>
    <t>Service over 4,000 kW</t>
  </si>
  <si>
    <t>Riverside GS (Rate A) (20-150 kW)</t>
  </si>
  <si>
    <t>Service over 150 kW</t>
  </si>
  <si>
    <t>Riverside GS TOU (Above 150 kW)</t>
  </si>
  <si>
    <t>Service between 20-150 kW</t>
  </si>
  <si>
    <t>Anaheim GS-1 (0-200 kW)</t>
  </si>
  <si>
    <t>Service between 0-200 kW</t>
  </si>
  <si>
    <t>Anaheim GS-2 (200-500 kW)</t>
  </si>
  <si>
    <t>Service between 200-500 kW</t>
  </si>
  <si>
    <t>Anaheim TOU (Above 500 kW)</t>
  </si>
  <si>
    <t>EV charging service above 500 kW</t>
  </si>
  <si>
    <t>General service above 500 kW</t>
  </si>
  <si>
    <t>SMUD GS GSS_T (21-300 kW)</t>
  </si>
  <si>
    <t>Service from 21-300 kW</t>
  </si>
  <si>
    <t>Charging Period</t>
  </si>
  <si>
    <t>Vehicle Energy Use (kWh/mi)</t>
  </si>
  <si>
    <t>Short Night (12a to 5a)</t>
  </si>
  <si>
    <t>Short Night &amp; 1 hr Day (12a to 5a &amp; 12p to 1p)</t>
  </si>
  <si>
    <t>For On-Route charging, value less than 100% means charger maximum capacity (kW) limited during the hour.</t>
  </si>
  <si>
    <t xml:space="preserve">For Depot Charging, 50% means half of fleet vehicles are plugged in and available to charge during the hour.  </t>
  </si>
  <si>
    <t>Note:</t>
  </si>
  <si>
    <t>Values greater than zero reflect periods when charging occurs in that hour during the month.  0% means no charging occurs in that hour.</t>
  </si>
  <si>
    <t>Charging Periods</t>
  </si>
  <si>
    <t>Note: Summer Peak/Mid/Off-Peak periods shown above is for the rate schedule currently selected on the "Rate Calculator" tab.</t>
  </si>
  <si>
    <t>for Selection</t>
  </si>
  <si>
    <t>Start:</t>
  </si>
  <si>
    <t>End:</t>
  </si>
  <si>
    <t>12pm</t>
  </si>
  <si>
    <t>12 pm</t>
  </si>
  <si>
    <t>1 pm</t>
  </si>
  <si>
    <t>2 pm</t>
  </si>
  <si>
    <t>3 pm</t>
  </si>
  <si>
    <t>4 pm</t>
  </si>
  <si>
    <t>5 pm</t>
  </si>
  <si>
    <t>6 pm</t>
  </si>
  <si>
    <t>7 pm</t>
  </si>
  <si>
    <t>8 pm</t>
  </si>
  <si>
    <t>9 pm</t>
  </si>
  <si>
    <t>10 pm</t>
  </si>
  <si>
    <t>11 pm</t>
  </si>
  <si>
    <t>12 am</t>
  </si>
  <si>
    <t>1 am</t>
  </si>
  <si>
    <t>2 am</t>
  </si>
  <si>
    <t>3 am</t>
  </si>
  <si>
    <t>4 am</t>
  </si>
  <si>
    <t>5 am</t>
  </si>
  <si>
    <t>6 am</t>
  </si>
  <si>
    <t>7 am</t>
  </si>
  <si>
    <t>8 am</t>
  </si>
  <si>
    <t>9 am</t>
  </si>
  <si>
    <t>10 am</t>
  </si>
  <si>
    <t>11 am</t>
  </si>
  <si>
    <t>Night+Day (11p-6a &amp; 10a-12p)</t>
  </si>
  <si>
    <t>Summer Months</t>
  </si>
  <si>
    <t>Winter Months</t>
  </si>
  <si>
    <t>Depot Managed</t>
  </si>
  <si>
    <t>Depot Unmanaged</t>
  </si>
  <si>
    <t>1pm</t>
  </si>
  <si>
    <t>2pm</t>
  </si>
  <si>
    <t>3pm</t>
  </si>
  <si>
    <t>4pm</t>
  </si>
  <si>
    <t>5pm</t>
  </si>
  <si>
    <t>6pm</t>
  </si>
  <si>
    <t>7pm</t>
  </si>
  <si>
    <t>8pm</t>
  </si>
  <si>
    <t>9pm</t>
  </si>
  <si>
    <t>10pm</t>
  </si>
  <si>
    <t>11pm</t>
  </si>
  <si>
    <t>12am</t>
  </si>
  <si>
    <t>1am</t>
  </si>
  <si>
    <t>2am</t>
  </si>
  <si>
    <t>3am</t>
  </si>
  <si>
    <t>4am</t>
  </si>
  <si>
    <t>5am</t>
  </si>
  <si>
    <t>6am</t>
  </si>
  <si>
    <t>7am</t>
  </si>
  <si>
    <t>8am</t>
  </si>
  <si>
    <t>9am</t>
  </si>
  <si>
    <t>10am</t>
  </si>
  <si>
    <t>11am</t>
  </si>
  <si>
    <t>kW</t>
  </si>
  <si>
    <t>hrs</t>
  </si>
  <si>
    <t>Maximum demand</t>
  </si>
  <si>
    <t>On-Rte Charge Demand Adjustment</t>
  </si>
  <si>
    <t>chg time/vehicle needed</t>
  </si>
  <si>
    <t>time avail to chg</t>
  </si>
  <si>
    <t>Service from 501 to 1000 kW</t>
  </si>
  <si>
    <t>Charging Efficiency</t>
  </si>
  <si>
    <t>Daily charging period</t>
  </si>
  <si>
    <t>250 kW</t>
  </si>
  <si>
    <t>500 kW</t>
  </si>
  <si>
    <t xml:space="preserve"> 19 kW (Level 2 - Max)</t>
  </si>
  <si>
    <t xml:space="preserve"> 10 kW (Level 2 - Standard)</t>
  </si>
  <si>
    <t>Charger Rating</t>
  </si>
  <si>
    <t>On-Route  8 of 15 min</t>
  </si>
  <si>
    <t>On-Route 10 of 15 min</t>
  </si>
  <si>
    <t>On-Route 12 of 15 min</t>
  </si>
  <si>
    <t>SCE EV-6 (EV above 500 kW)</t>
  </si>
  <si>
    <t>EV charging &gt;500 kW</t>
  </si>
  <si>
    <t>SCE TOU-8 Option A (EV above 500 kW)</t>
  </si>
  <si>
    <t>TOU Winter Usage $/kWh</t>
  </si>
  <si>
    <t>Burbank Schedule D (20-250kW)</t>
  </si>
  <si>
    <t>Service 20-250kW</t>
  </si>
  <si>
    <t>Burbank Schedule L-TOU (250-1000kW)</t>
  </si>
  <si>
    <t>Burbank Schedule XL-TOU (1000+kW)</t>
  </si>
  <si>
    <t>Service 250-1000kW</t>
  </si>
  <si>
    <t>Service above 1000kW</t>
  </si>
  <si>
    <t>Service for less than 8,000 kWh per month at less than 4,000 kW</t>
  </si>
  <si>
    <t>SCE EV-8 Yr. 1-5 (EV 20-500 kW)</t>
  </si>
  <si>
    <t>SCE EV-9 Yr. 1-5 (EV Above 500 kW)</t>
  </si>
  <si>
    <t>TBD</t>
  </si>
  <si>
    <t>EV charging from 20 to 500 kW, Year 1 through 5</t>
  </si>
  <si>
    <t>EV charging above 500 kW, Year 1 through 5</t>
  </si>
  <si>
    <t>Silicon Valley (SVP) C-1 Non-TOU (0-4000 kW)</t>
  </si>
  <si>
    <t xml:space="preserve"> 30 kW</t>
  </si>
  <si>
    <t>Other Notes</t>
  </si>
  <si>
    <t>SDG&amp;E AL-TOU - EECC-CPP-D (20-500 kW)</t>
  </si>
  <si>
    <t>SDG&amp;E AL-TOU - EECC-CPP-D (Above 500 kW)</t>
  </si>
  <si>
    <t>SDG&amp;E AL-TOU2 - EECC-CPP-D (20-500 kW)</t>
  </si>
  <si>
    <t>SDG&amp;E AL-TOU2 - EECC-CPP-D (Above 500 kW)</t>
  </si>
  <si>
    <t>Local Taxes and Fees</t>
  </si>
  <si>
    <t>SDG&amp;E AL-TOU - EECC (20-500 kW)</t>
  </si>
  <si>
    <t>SDG&amp;E AL-TOU - EECC (Above 500 kW)</t>
  </si>
  <si>
    <t>Service from 20-500 kW  with critical peak pricing</t>
  </si>
  <si>
    <t>Service above 500 kW with critical peak pricing</t>
  </si>
  <si>
    <t>Service from 20-500 kW  without critical peak pricing</t>
  </si>
  <si>
    <t>Service above 500 kW without critical peak pricing</t>
  </si>
  <si>
    <t>NA</t>
  </si>
  <si>
    <t>SDG&amp;E AL-TOU2 - EECC (20-500 kW)</t>
  </si>
  <si>
    <t>SDG&amp;E AL-TOU2 - EECC (Above 500 kW)</t>
  </si>
  <si>
    <t>Optional service above 500 kW with critical peak pricing</t>
  </si>
  <si>
    <t>Optional service from 20-500 kW with critical peak pricing</t>
  </si>
  <si>
    <t>Optional service from 20-500 kW without critical peak pricing</t>
  </si>
  <si>
    <t>Optional service above 500 kW without critical peak pricing</t>
  </si>
  <si>
    <t>Day Time (6a-10p)</t>
  </si>
  <si>
    <t>Evening (7p-6a)</t>
  </si>
  <si>
    <t>OR</t>
  </si>
  <si>
    <t>Silicon Valley (SVP) CB-1 TOU (0-4000 kW)</t>
  </si>
  <si>
    <t>Silicon Valley (SVP) CB-1 Non-TOU (0-4000 kW)</t>
  </si>
  <si>
    <t>Silicon Valley (SVP) CB-3 TOU (Above 4000 kW)</t>
  </si>
  <si>
    <r>
      <t>Battery Electric Truck and Bus Charging Cost Calculator</t>
    </r>
    <r>
      <rPr>
        <b/>
        <sz val="10"/>
        <color theme="1"/>
        <rFont val="Calibri"/>
        <family val="2"/>
        <scheme val="minor"/>
      </rPr>
      <t xml:space="preserve"> (V4 Last Updated 9/XX/2018)</t>
    </r>
  </si>
  <si>
    <t>Customers using EV-4 will be transferred to EV-8 upon the effective schedule date of EV-8.</t>
  </si>
  <si>
    <t>Customers using EV-6 will be transferred to EV-9 upon the effective schedule date of EV-9.</t>
  </si>
  <si>
    <t>SCE EV-8 has not been approved by the CPUC yet.  This rate will be effective for five years after the effective date.</t>
  </si>
  <si>
    <t>SCE EV-9 has not been approved by the CPUC yet.  This rate will be effective for five years after the effective date.</t>
  </si>
  <si>
    <t>Taxes and Other Fees</t>
  </si>
  <si>
    <t>Anaheim GS-1 charges $126.20 for all demand below 15 kW.  This has been modeled by adjusting the meter fee downwards resulting in a negative meter fee.</t>
  </si>
  <si>
    <t>Anaheim GS-2 charges $2769.00 for all demand below 200 kW.  This has been modelled by adjusting the meter fee downward resulting in a negative meter fee.</t>
  </si>
  <si>
    <t>Modesto GS-2 charges no demand fee below 20 kW.  This has been modeled by adjusting the meter fee downwards resulting in a negative meter fee.</t>
  </si>
  <si>
    <t>The TOU option is not included in this calculator.</t>
  </si>
  <si>
    <t>SDG&amp;E has two commodity schedules available - EECC and EECC-CPP-D.  EECC has higher demand charges but does not have Critical Peak Periods.</t>
  </si>
  <si>
    <t xml:space="preserve"> 50 kW</t>
  </si>
  <si>
    <t>SDG&amp;E can apply Critical Peak Pricing which would raise energy costs by $3.84/kWh between 2-6 PM up to 18 days a year.  See EECC-CPP-D schedule for more detail.</t>
  </si>
  <si>
    <t>SDG&amp;E can apply Critical Peak Pricing which would raise energy costs by $2.20/kWh between 2-6 PM up to 18 days a year.  See EECC-CPP-D schedule for more detail.</t>
  </si>
  <si>
    <t>Silicon Valley (SVP) CB-3 Non-TOU (Above 4000 kW)</t>
  </si>
  <si>
    <t>PG&amp;E CEV-L (Above 100 kW)</t>
  </si>
  <si>
    <t>Service above 100 kW</t>
  </si>
  <si>
    <t>PG&amp;E CEV-S (Below 100 kW)</t>
  </si>
  <si>
    <t>Subscription</t>
  </si>
  <si>
    <t>Late Evening (10p-6a)</t>
  </si>
  <si>
    <t>Late Night (12p-6a)</t>
  </si>
  <si>
    <t xml:space="preserve">This is a proposed rate pending CPUC approval.  PG&amp;E CEV-L does not have demand fees.  Instead, the customer selects a power level for their charging needs and pays a fixed monthly fee.  </t>
  </si>
  <si>
    <t xml:space="preserve">This is a proposed rate pending CPUC approval.  PG&amp;E CEV-S does not have demand fees.  Instead, the customer selects a power level for their charging needs and pays a fixed monthly fee.  </t>
  </si>
  <si>
    <r>
      <t>Battery Electric Truck and Bus Charging Cost Calculator</t>
    </r>
    <r>
      <rPr>
        <b/>
        <sz val="10"/>
        <color theme="1"/>
        <rFont val="Calibri"/>
        <family val="2"/>
        <scheme val="minor"/>
      </rPr>
      <t xml:space="preserve"> (V4.0 Last Updated 2/1/2019)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</si>
</sst>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0.000_);\(#,##0.000\)"/>
    <numFmt numFmtId="168" formatCode="_(* #,##0_);_(* \(#,##0\);_(* &quot;-&quot;??_);_(@_)"/>
    <numFmt numFmtId="169" formatCode="_(* #,##0.0_);_(* \(#,##0.0\);_(* &quot;-&quot;??_);_(@_)"/>
  </numFmts>
  <fonts count="26"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i/>
      <sz val="11"/>
      <color theme="4" tint="-0.499984740745262"/>
      <name val="Calibri"/>
      <family val="2"/>
      <scheme val="minor"/>
    </font>
    <font>
      <sz val="6"/>
      <color theme="1"/>
      <name val="Calibri"/>
      <family val="2"/>
      <scheme val="minor"/>
    </font>
    <font>
      <sz val="6"/>
      <color theme="2" tint="-0.249977111117893"/>
      <name val="Calibri"/>
      <family val="2"/>
      <scheme val="minor"/>
    </font>
    <font>
      <i/>
      <sz val="10"/>
      <color theme="1"/>
      <name val="Calibri"/>
      <family val="2"/>
      <scheme val="minor"/>
    </font>
    <font>
      <sz val="8"/>
      <color theme="1"/>
      <name val="Calibri"/>
      <family val="2"/>
      <scheme val="minor"/>
    </font>
    <font>
      <sz val="1"/>
      <color theme="1"/>
      <name val="Calibri"/>
      <family val="2"/>
      <scheme val="minor"/>
    </font>
    <font>
      <sz val="10"/>
      <color theme="0"/>
      <name val="Calibri"/>
      <family val="2"/>
      <scheme val="minor"/>
    </font>
    <font>
      <sz val="10"/>
      <color theme="0" tint="-0.249977111117893"/>
      <name val="Calibri"/>
      <family val="2"/>
      <scheme val="minor"/>
    </font>
    <font>
      <b/>
      <sz val="12"/>
      <color theme="4" tint="-0.499984740745262"/>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sz val="1"/>
      <color theme="9" tint="-0.249977111117893"/>
      <name val="Calibri"/>
      <family val="2"/>
      <scheme val="minor"/>
    </font>
    <font>
      <sz val="10"/>
      <name val="Calibri"/>
      <family val="2"/>
      <scheme val="minor"/>
    </font>
    <font>
      <b/>
      <sz val="12"/>
      <color theme="1"/>
      <name val="Calibri"/>
      <family val="2"/>
      <scheme val="minor"/>
    </font>
    <font>
      <b/>
      <sz val="8"/>
      <color theme="1"/>
      <name val="Calibri"/>
      <family val="2"/>
      <scheme val="minor"/>
    </font>
    <font>
      <sz val="11"/>
      <color rgb="FF000000"/>
      <name val="Calibri"/>
      <family val="2"/>
    </font>
    <font>
      <sz val="9"/>
      <color indexed="81"/>
      <name val="Tahoma"/>
      <family val="2"/>
    </font>
    <font>
      <sz val="9"/>
      <color theme="1"/>
      <name val="Calibri"/>
      <family val="2"/>
      <scheme val="minor"/>
    </font>
    <font>
      <sz val="11"/>
      <color theme="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03">
    <xf numFmtId="0" fontId="0" fillId="0" borderId="0" xfId="0"/>
    <xf numFmtId="0" fontId="3" fillId="0" borderId="0" xfId="0" applyFont="1"/>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left"/>
    </xf>
    <xf numFmtId="9" fontId="3" fillId="0" borderId="0" xfId="0" applyNumberFormat="1" applyFont="1" applyFill="1" applyBorder="1" applyAlignment="1">
      <alignment horizontal="center"/>
    </xf>
    <xf numFmtId="0" fontId="3" fillId="0" borderId="0" xfId="0" applyFont="1" applyBorder="1"/>
    <xf numFmtId="0" fontId="3" fillId="0" borderId="0" xfId="0" applyFont="1" applyFill="1" applyBorder="1"/>
    <xf numFmtId="0" fontId="3" fillId="0" borderId="9" xfId="0" applyFont="1" applyBorder="1" applyAlignment="1">
      <alignment horizontal="centerContinuous"/>
    </xf>
    <xf numFmtId="0" fontId="3" fillId="0" borderId="10" xfId="0" applyFont="1" applyBorder="1" applyAlignment="1">
      <alignment horizontal="centerContinuous"/>
    </xf>
    <xf numFmtId="0" fontId="3" fillId="0" borderId="11" xfId="0" applyFont="1" applyBorder="1" applyAlignment="1">
      <alignment horizontal="centerContinuous"/>
    </xf>
    <xf numFmtId="7" fontId="3" fillId="0" borderId="0" xfId="1" applyNumberFormat="1" applyFont="1" applyFill="1" applyBorder="1" applyAlignment="1">
      <alignment horizontal="center"/>
    </xf>
    <xf numFmtId="0" fontId="3" fillId="0" borderId="7" xfId="0" applyFont="1" applyBorder="1" applyAlignment="1">
      <alignment horizontal="center"/>
    </xf>
    <xf numFmtId="0" fontId="0" fillId="0" borderId="0" xfId="0" applyAlignment="1">
      <alignment horizontal="center"/>
    </xf>
    <xf numFmtId="0" fontId="3" fillId="0" borderId="12" xfId="0" applyFont="1" applyFill="1" applyBorder="1" applyAlignment="1">
      <alignment horizontal="left"/>
    </xf>
    <xf numFmtId="0" fontId="3" fillId="0" borderId="13" xfId="0" applyFont="1" applyBorder="1"/>
    <xf numFmtId="0" fontId="3" fillId="0" borderId="12" xfId="0" applyFont="1" applyBorder="1"/>
    <xf numFmtId="0" fontId="3" fillId="0" borderId="14" xfId="0" applyFont="1" applyBorder="1" applyAlignment="1">
      <alignment horizontal="center"/>
    </xf>
    <xf numFmtId="0" fontId="3" fillId="0" borderId="2" xfId="0" applyFont="1" applyBorder="1" applyAlignment="1">
      <alignment horizontal="centerContinuous"/>
    </xf>
    <xf numFmtId="0" fontId="3" fillId="0" borderId="4" xfId="0" applyFont="1" applyBorder="1" applyAlignment="1">
      <alignment horizontal="centerContinuous"/>
    </xf>
    <xf numFmtId="49" fontId="3" fillId="0" borderId="0" xfId="0" applyNumberFormat="1" applyFont="1" applyAlignment="1">
      <alignment horizontal="center"/>
    </xf>
    <xf numFmtId="0" fontId="3" fillId="0" borderId="0" xfId="0" applyNumberFormat="1" applyFont="1" applyAlignment="1">
      <alignment horizontal="center"/>
    </xf>
    <xf numFmtId="0" fontId="4" fillId="0" borderId="0" xfId="0" applyFont="1" applyAlignment="1"/>
    <xf numFmtId="0" fontId="0" fillId="0" borderId="0" xfId="0" applyFont="1"/>
    <xf numFmtId="0" fontId="4" fillId="0" borderId="0" xfId="0" applyFont="1"/>
    <xf numFmtId="0" fontId="4" fillId="0" borderId="0" xfId="0" applyFont="1" applyAlignment="1">
      <alignment horizontal="left"/>
    </xf>
    <xf numFmtId="0" fontId="3" fillId="0" borderId="12" xfId="0" applyFont="1" applyBorder="1" applyAlignment="1">
      <alignment horizontal="center"/>
    </xf>
    <xf numFmtId="0" fontId="3" fillId="0" borderId="13" xfId="0" applyFont="1" applyFill="1" applyBorder="1" applyAlignment="1">
      <alignment horizontal="center"/>
    </xf>
    <xf numFmtId="0" fontId="3" fillId="0" borderId="7" xfId="0" applyFont="1" applyBorder="1" applyAlignment="1">
      <alignment horizontal="left"/>
    </xf>
    <xf numFmtId="0" fontId="3" fillId="0" borderId="8" xfId="0" applyFont="1" applyBorder="1" applyAlignment="1">
      <alignment horizontal="left"/>
    </xf>
    <xf numFmtId="14" fontId="3" fillId="0" borderId="0" xfId="0" applyNumberFormat="1" applyFont="1"/>
    <xf numFmtId="0" fontId="3" fillId="0" borderId="12" xfId="0" applyFont="1" applyFill="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2" fillId="0" borderId="12" xfId="0" applyFont="1" applyFill="1" applyBorder="1"/>
    <xf numFmtId="0" fontId="0" fillId="0" borderId="13" xfId="0" applyBorder="1"/>
    <xf numFmtId="0" fontId="0" fillId="0" borderId="0" xfId="0" quotePrefix="1" applyAlignment="1">
      <alignment horizontal="center"/>
    </xf>
    <xf numFmtId="0" fontId="0" fillId="0" borderId="0" xfId="0" quotePrefix="1" applyAlignment="1">
      <alignment horizontal="center" vertical="center"/>
    </xf>
    <xf numFmtId="0" fontId="3" fillId="0" borderId="0" xfId="0" applyFont="1" applyAlignment="1">
      <alignment horizontal="left" vertical="center"/>
    </xf>
    <xf numFmtId="9" fontId="3" fillId="0" borderId="0" xfId="2" applyNumberFormat="1" applyFont="1"/>
    <xf numFmtId="0" fontId="3" fillId="0" borderId="0" xfId="0" applyFont="1" applyAlignment="1">
      <alignment horizontal="right"/>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14" xfId="0" applyFont="1" applyFill="1" applyBorder="1" applyAlignment="1">
      <alignment horizontal="center"/>
    </xf>
    <xf numFmtId="0" fontId="3" fillId="0" borderId="2" xfId="0" applyFont="1" applyFill="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0" xfId="0" applyFill="1"/>
    <xf numFmtId="0" fontId="3" fillId="0" borderId="0" xfId="0" applyFont="1" applyFill="1" applyAlignment="1">
      <alignment horizontal="center" vertical="center"/>
    </xf>
    <xf numFmtId="0" fontId="3" fillId="4" borderId="0" xfId="0" applyFont="1" applyFill="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0" borderId="0" xfId="0" applyFont="1" applyAlignment="1">
      <alignment horizontal="centerContinuous" vertical="center"/>
    </xf>
    <xf numFmtId="0" fontId="3" fillId="0" borderId="13" xfId="0" applyFont="1" applyFill="1" applyBorder="1"/>
    <xf numFmtId="0" fontId="7" fillId="7" borderId="0" xfId="0" applyFont="1" applyFill="1" applyAlignment="1">
      <alignment horizontal="center" vertical="center"/>
    </xf>
    <xf numFmtId="0" fontId="6" fillId="0" borderId="0" xfId="0" applyFont="1" applyAlignment="1">
      <alignment vertical="center"/>
    </xf>
    <xf numFmtId="0" fontId="3" fillId="0" borderId="21" xfId="0" applyFont="1" applyBorder="1"/>
    <xf numFmtId="0" fontId="3" fillId="0" borderId="7" xfId="0" applyFont="1" applyBorder="1"/>
    <xf numFmtId="0" fontId="2" fillId="0" borderId="2" xfId="0" applyFont="1" applyFill="1" applyBorder="1" applyAlignment="1">
      <alignment horizontal="left"/>
    </xf>
    <xf numFmtId="0" fontId="0" fillId="0" borderId="3" xfId="0" applyBorder="1"/>
    <xf numFmtId="0" fontId="0" fillId="0" borderId="8" xfId="0" applyBorder="1"/>
    <xf numFmtId="9" fontId="3" fillId="0" borderId="0" xfId="2" applyFo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0" fillId="0" borderId="0" xfId="0" applyBorder="1"/>
    <xf numFmtId="0" fontId="2" fillId="0" borderId="0" xfId="0" applyFont="1" applyBorder="1" applyAlignment="1">
      <alignment horizontal="center" vertical="center"/>
    </xf>
    <xf numFmtId="0" fontId="10" fillId="0" borderId="0" xfId="0" applyFont="1" applyBorder="1" applyAlignment="1">
      <alignment horizontal="center"/>
    </xf>
    <xf numFmtId="0" fontId="2" fillId="0" borderId="0" xfId="0" applyFont="1" applyBorder="1" applyAlignment="1">
      <alignment horizontal="right"/>
    </xf>
    <xf numFmtId="37" fontId="3" fillId="0" borderId="0" xfId="3" applyNumberFormat="1" applyFont="1"/>
    <xf numFmtId="37" fontId="3" fillId="0" borderId="0" xfId="3" applyNumberFormat="1" applyFont="1" applyBorder="1"/>
    <xf numFmtId="7" fontId="5" fillId="0" borderId="0" xfId="0" applyNumberFormat="1" applyFont="1" applyBorder="1" applyAlignment="1">
      <alignment horizontal="center"/>
    </xf>
    <xf numFmtId="0" fontId="2" fillId="0" borderId="0" xfId="0" applyFont="1" applyBorder="1"/>
    <xf numFmtId="0" fontId="2" fillId="9" borderId="21" xfId="0" applyFont="1" applyFill="1" applyBorder="1"/>
    <xf numFmtId="0" fontId="0" fillId="0" borderId="0" xfId="0" applyBorder="1" applyAlignment="1">
      <alignment horizontal="left"/>
    </xf>
    <xf numFmtId="9" fontId="9" fillId="0" borderId="1" xfId="2" applyFont="1" applyFill="1" applyBorder="1" applyAlignment="1">
      <alignment horizontal="center"/>
    </xf>
    <xf numFmtId="0" fontId="2" fillId="0" borderId="0" xfId="0" applyFont="1" applyFill="1" applyBorder="1"/>
    <xf numFmtId="0" fontId="11" fillId="7" borderId="0" xfId="0" applyFont="1" applyFill="1"/>
    <xf numFmtId="0" fontId="11" fillId="7" borderId="0" xfId="0" applyFont="1" applyFill="1" applyAlignment="1">
      <alignment horizontal="center"/>
    </xf>
    <xf numFmtId="1" fontId="3" fillId="0" borderId="0" xfId="2" applyNumberFormat="1" applyFont="1" applyFill="1" applyAlignment="1">
      <alignment horizontal="center"/>
    </xf>
    <xf numFmtId="9" fontId="3" fillId="0" borderId="0" xfId="0" applyNumberFormat="1" applyFont="1" applyAlignment="1">
      <alignment horizontal="right"/>
    </xf>
    <xf numFmtId="0" fontId="12" fillId="0" borderId="0" xfId="0" applyFont="1"/>
    <xf numFmtId="0" fontId="3" fillId="0" borderId="0" xfId="0" applyFont="1" applyAlignment="1">
      <alignment horizontal="left"/>
    </xf>
    <xf numFmtId="0" fontId="3" fillId="0" borderId="0" xfId="0" applyFont="1" applyFill="1" applyBorder="1" applyAlignment="1">
      <alignment horizontal="left"/>
    </xf>
    <xf numFmtId="0" fontId="3" fillId="0" borderId="18" xfId="0" applyFont="1" applyBorder="1"/>
    <xf numFmtId="0" fontId="3" fillId="0" borderId="19" xfId="0" applyFont="1" applyBorder="1"/>
    <xf numFmtId="0" fontId="3" fillId="0" borderId="20" xfId="0" applyFont="1" applyBorder="1"/>
    <xf numFmtId="0" fontId="3" fillId="0" borderId="22" xfId="0" applyFont="1" applyBorder="1"/>
    <xf numFmtId="39" fontId="3" fillId="0" borderId="0" xfId="3" applyNumberFormat="1" applyFont="1"/>
    <xf numFmtId="0" fontId="3" fillId="10" borderId="0" xfId="0" applyFont="1" applyFill="1"/>
    <xf numFmtId="37" fontId="3" fillId="0" borderId="19" xfId="3" applyNumberFormat="1" applyFont="1" applyBorder="1" applyAlignment="1">
      <alignment horizontal="left" vertical="center"/>
    </xf>
    <xf numFmtId="37" fontId="3" fillId="0" borderId="19" xfId="3" applyNumberFormat="1" applyFont="1" applyBorder="1"/>
    <xf numFmtId="0" fontId="2" fillId="0" borderId="0" xfId="0" quotePrefix="1" applyFont="1" applyFill="1" applyBorder="1"/>
    <xf numFmtId="2" fontId="2" fillId="0" borderId="0" xfId="0" applyNumberFormat="1" applyFont="1" applyBorder="1"/>
    <xf numFmtId="0" fontId="2" fillId="0" borderId="0" xfId="0" quotePrefix="1" applyFont="1" applyBorder="1"/>
    <xf numFmtId="0" fontId="2" fillId="0" borderId="21" xfId="0" applyFont="1" applyFill="1" applyBorder="1"/>
    <xf numFmtId="0" fontId="2" fillId="0" borderId="21" xfId="0" applyFont="1" applyBorder="1"/>
    <xf numFmtId="5" fontId="2" fillId="0" borderId="21" xfId="0" applyNumberFormat="1" applyFont="1" applyBorder="1" applyAlignment="1">
      <alignment horizontal="center"/>
    </xf>
    <xf numFmtId="0" fontId="2" fillId="0" borderId="21" xfId="0" quotePrefix="1" applyFont="1" applyBorder="1"/>
    <xf numFmtId="37" fontId="3" fillId="0" borderId="22" xfId="3" applyNumberFormat="1" applyFont="1" applyBorder="1"/>
    <xf numFmtId="37" fontId="3" fillId="0" borderId="19" xfId="3" applyNumberFormat="1" applyFont="1" applyBorder="1" applyAlignment="1"/>
    <xf numFmtId="7" fontId="5" fillId="0" borderId="21" xfId="0" applyNumberFormat="1" applyFont="1" applyBorder="1" applyAlignment="1">
      <alignment horizontal="center"/>
    </xf>
    <xf numFmtId="0" fontId="0" fillId="0" borderId="0" xfId="0" applyFont="1" applyAlignment="1">
      <alignment horizontal="left"/>
    </xf>
    <xf numFmtId="7" fontId="0" fillId="0" borderId="0" xfId="0" applyNumberFormat="1" applyFont="1" applyBorder="1" applyAlignment="1">
      <alignment horizontal="left"/>
    </xf>
    <xf numFmtId="165" fontId="3" fillId="0" borderId="0" xfId="0" applyNumberFormat="1" applyFont="1" applyFill="1"/>
    <xf numFmtId="3" fontId="3" fillId="0" borderId="0" xfId="0" applyNumberFormat="1" applyFont="1" applyAlignment="1">
      <alignment horizontal="center"/>
    </xf>
    <xf numFmtId="0" fontId="3" fillId="0" borderId="3" xfId="0" applyFont="1" applyBorder="1" applyAlignment="1">
      <alignment horizontal="centerContinuous"/>
    </xf>
    <xf numFmtId="0" fontId="0" fillId="0" borderId="5" xfId="0" applyBorder="1" applyAlignment="1">
      <alignment horizontal="center"/>
    </xf>
    <xf numFmtId="0" fontId="14" fillId="0" borderId="0" xfId="0" applyFont="1" applyAlignment="1">
      <alignment horizontal="left"/>
    </xf>
    <xf numFmtId="0" fontId="3" fillId="0" borderId="0" xfId="0" applyFont="1" applyFill="1" applyBorder="1" applyAlignment="1">
      <alignment horizontal="center"/>
    </xf>
    <xf numFmtId="9" fontId="9" fillId="0" borderId="0" xfId="2" applyFont="1" applyFill="1" applyAlignment="1" applyProtection="1">
      <alignment horizontal="center"/>
      <protection locked="0"/>
    </xf>
    <xf numFmtId="9" fontId="9" fillId="3" borderId="0" xfId="2" applyFont="1" applyFill="1" applyAlignment="1" applyProtection="1">
      <alignment horizontal="center"/>
      <protection locked="0"/>
    </xf>
    <xf numFmtId="0" fontId="3" fillId="8" borderId="0" xfId="0" applyFont="1" applyFill="1" applyAlignment="1" applyProtection="1">
      <alignment horizontal="center"/>
      <protection locked="0"/>
    </xf>
    <xf numFmtId="0" fontId="0" fillId="8" borderId="0" xfId="0" applyFill="1" applyProtection="1">
      <protection locked="0"/>
    </xf>
    <xf numFmtId="0" fontId="3" fillId="8" borderId="0" xfId="0" applyFont="1" applyFill="1" applyProtection="1">
      <protection locked="0"/>
    </xf>
    <xf numFmtId="0" fontId="3" fillId="8" borderId="0" xfId="0" applyFont="1" applyFill="1" applyBorder="1" applyProtection="1">
      <protection locked="0"/>
    </xf>
    <xf numFmtId="7" fontId="3" fillId="8" borderId="0" xfId="1" applyNumberFormat="1" applyFont="1" applyFill="1" applyBorder="1" applyAlignment="1" applyProtection="1">
      <alignment horizontal="center"/>
      <protection locked="0"/>
    </xf>
    <xf numFmtId="0" fontId="0" fillId="8" borderId="0" xfId="0" applyFill="1" applyAlignment="1" applyProtection="1">
      <alignment horizontal="center"/>
      <protection locked="0"/>
    </xf>
    <xf numFmtId="0" fontId="3" fillId="3" borderId="0" xfId="0" applyFont="1" applyFill="1" applyBorder="1" applyAlignment="1" applyProtection="1">
      <alignment horizontal="center"/>
      <protection locked="0"/>
    </xf>
    <xf numFmtId="0" fontId="3" fillId="3" borderId="0" xfId="0" applyFont="1" applyFill="1" applyProtection="1">
      <protection locked="0"/>
    </xf>
    <xf numFmtId="7" fontId="3" fillId="3" borderId="0" xfId="1" applyNumberFormat="1" applyFont="1" applyFill="1" applyBorder="1" applyAlignment="1" applyProtection="1">
      <alignment horizontal="center"/>
      <protection locked="0"/>
    </xf>
    <xf numFmtId="3" fontId="3" fillId="3" borderId="0" xfId="0" applyNumberFormat="1" applyFont="1" applyFill="1" applyAlignment="1" applyProtection="1">
      <alignment horizontal="center"/>
      <protection locked="0"/>
    </xf>
    <xf numFmtId="5" fontId="2" fillId="0" borderId="0" xfId="0" applyNumberFormat="1" applyFont="1" applyBorder="1" applyAlignment="1">
      <alignment horizontal="center"/>
    </xf>
    <xf numFmtId="0" fontId="15" fillId="0" borderId="16" xfId="0" applyFont="1" applyBorder="1" applyAlignment="1">
      <alignment horizontal="centerContinuous"/>
    </xf>
    <xf numFmtId="37" fontId="15" fillId="0" borderId="17" xfId="3" applyNumberFormat="1" applyFont="1" applyBorder="1" applyAlignment="1">
      <alignment horizontal="centerContinuous"/>
    </xf>
    <xf numFmtId="167" fontId="3" fillId="0" borderId="0" xfId="3" applyNumberFormat="1" applyFont="1"/>
    <xf numFmtId="0" fontId="3" fillId="0" borderId="0" xfId="0" applyFont="1" applyFill="1" applyBorder="1" applyAlignment="1">
      <alignment horizontal="left" vertical="center"/>
    </xf>
    <xf numFmtId="0" fontId="15" fillId="0" borderId="18" xfId="0" applyFont="1" applyBorder="1" applyAlignment="1">
      <alignment horizontal="centerContinuous"/>
    </xf>
    <xf numFmtId="0" fontId="15" fillId="0" borderId="0" xfId="0" applyFont="1" applyBorder="1" applyAlignment="1">
      <alignment horizontal="centerContinuous"/>
    </xf>
    <xf numFmtId="37" fontId="15" fillId="0" borderId="19" xfId="3" applyNumberFormat="1" applyFont="1" applyBorder="1" applyAlignment="1">
      <alignment horizontal="centerContinuous"/>
    </xf>
    <xf numFmtId="0" fontId="4" fillId="0" borderId="0" xfId="0" applyFont="1" applyFill="1" applyBorder="1" applyAlignment="1">
      <alignment horizontal="left"/>
    </xf>
    <xf numFmtId="0" fontId="16" fillId="0" borderId="15" xfId="0" applyFont="1" applyBorder="1" applyAlignment="1">
      <alignment horizontal="centerContinuous"/>
    </xf>
    <xf numFmtId="0" fontId="16" fillId="0" borderId="18" xfId="0" applyFont="1" applyBorder="1" applyAlignment="1">
      <alignment horizontal="centerContinuous"/>
    </xf>
    <xf numFmtId="0" fontId="17" fillId="0" borderId="0" xfId="0" applyFont="1" applyBorder="1" applyAlignment="1">
      <alignment horizontal="center"/>
    </xf>
    <xf numFmtId="0" fontId="3" fillId="10" borderId="0" xfId="0" applyFont="1" applyFill="1" applyBorder="1" applyAlignment="1">
      <alignment horizontal="left"/>
    </xf>
    <xf numFmtId="14" fontId="0" fillId="0" borderId="0" xfId="0" applyNumberFormat="1"/>
    <xf numFmtId="37" fontId="3" fillId="10" borderId="0" xfId="3" applyNumberFormat="1" applyFont="1" applyFill="1" applyAlignment="1"/>
    <xf numFmtId="0" fontId="18" fillId="0" borderId="0" xfId="0" applyFont="1" applyAlignment="1">
      <alignment horizontal="right"/>
    </xf>
    <xf numFmtId="0" fontId="18" fillId="0" borderId="0" xfId="0" applyFont="1"/>
    <xf numFmtId="9" fontId="18" fillId="0" borderId="0" xfId="0" applyNumberFormat="1" applyFont="1" applyAlignment="1">
      <alignment horizontal="left"/>
    </xf>
    <xf numFmtId="37" fontId="18" fillId="0" borderId="0" xfId="3" applyNumberFormat="1" applyFont="1"/>
    <xf numFmtId="165" fontId="18" fillId="0" borderId="0" xfId="0" applyNumberFormat="1" applyFont="1"/>
    <xf numFmtId="164" fontId="3" fillId="0" borderId="0" xfId="0" applyNumberFormat="1" applyFont="1"/>
    <xf numFmtId="0" fontId="11" fillId="0" borderId="0" xfId="0" applyFont="1" applyFill="1" applyBorder="1" applyAlignment="1">
      <alignment horizontal="left"/>
    </xf>
    <xf numFmtId="0" fontId="11" fillId="0" borderId="0" xfId="0"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14" xfId="0" applyFont="1" applyBorder="1"/>
    <xf numFmtId="9" fontId="9" fillId="0" borderId="1" xfId="2" applyNumberFormat="1" applyFont="1" applyFill="1" applyBorder="1" applyAlignment="1">
      <alignment horizontal="center"/>
    </xf>
    <xf numFmtId="9" fontId="9" fillId="0" borderId="11" xfId="2" applyNumberFormat="1" applyFont="1" applyFill="1" applyBorder="1" applyAlignment="1">
      <alignment horizontal="center"/>
    </xf>
    <xf numFmtId="0" fontId="2" fillId="0" borderId="8" xfId="0" applyFont="1" applyBorder="1" applyAlignment="1">
      <alignment horizontal="center" vertical="center"/>
    </xf>
    <xf numFmtId="9" fontId="9" fillId="0" borderId="9" xfId="2" applyNumberFormat="1" applyFont="1" applyFill="1" applyBorder="1" applyAlignment="1">
      <alignment horizontal="center"/>
    </xf>
    <xf numFmtId="9" fontId="11" fillId="0" borderId="0" xfId="2" applyFont="1" applyFill="1" applyBorder="1" applyAlignment="1">
      <alignment horizontal="right"/>
    </xf>
    <xf numFmtId="37" fontId="11" fillId="0" borderId="0" xfId="3" applyNumberFormat="1" applyFont="1" applyFill="1" applyBorder="1" applyAlignment="1">
      <alignment horizontal="left"/>
    </xf>
    <xf numFmtId="0" fontId="11" fillId="0" borderId="0" xfId="0" applyFont="1" applyFill="1" applyBorder="1" applyAlignment="1">
      <alignment horizontal="right"/>
    </xf>
    <xf numFmtId="9" fontId="11" fillId="0" borderId="0" xfId="0" applyNumberFormat="1" applyFont="1" applyFill="1" applyBorder="1" applyAlignment="1">
      <alignment horizontal="left"/>
    </xf>
    <xf numFmtId="9" fontId="9" fillId="3" borderId="5" xfId="2" applyFont="1" applyFill="1" applyBorder="1" applyAlignment="1" applyProtection="1">
      <alignment horizontal="center"/>
    </xf>
    <xf numFmtId="9" fontId="9" fillId="3" borderId="0" xfId="2" applyFont="1" applyFill="1" applyAlignment="1" applyProtection="1">
      <alignment horizontal="center"/>
    </xf>
    <xf numFmtId="0" fontId="0" fillId="0" borderId="6" xfId="0" applyBorder="1" applyAlignment="1">
      <alignment horizontal="center"/>
    </xf>
    <xf numFmtId="0" fontId="0" fillId="0" borderId="0" xfId="0" applyBorder="1" applyAlignment="1">
      <alignment horizontal="center"/>
    </xf>
    <xf numFmtId="9" fontId="9" fillId="0" borderId="5" xfId="2" applyFont="1" applyFill="1" applyBorder="1" applyAlignment="1" applyProtection="1">
      <alignment horizontal="center"/>
      <protection locked="0"/>
    </xf>
    <xf numFmtId="37" fontId="11" fillId="0" borderId="0" xfId="0" applyNumberFormat="1" applyFont="1"/>
    <xf numFmtId="0" fontId="3" fillId="0" borderId="0" xfId="0" applyFont="1" applyBorder="1" applyAlignment="1">
      <alignment horizontal="right" vertical="center"/>
    </xf>
    <xf numFmtId="0" fontId="3" fillId="0" borderId="0" xfId="0" applyFont="1" applyFill="1" applyAlignment="1">
      <alignment horizontal="left"/>
    </xf>
    <xf numFmtId="168" fontId="0" fillId="2" borderId="0" xfId="3" applyNumberFormat="1" applyFont="1" applyFill="1" applyBorder="1" applyAlignment="1" applyProtection="1">
      <alignment horizontal="right" vertical="center"/>
      <protection locked="0"/>
    </xf>
    <xf numFmtId="168" fontId="0" fillId="0" borderId="0" xfId="3" applyNumberFormat="1" applyFont="1" applyFill="1" applyBorder="1" applyAlignment="1" applyProtection="1">
      <alignment horizontal="left" vertical="center"/>
      <protection locked="0"/>
    </xf>
    <xf numFmtId="168" fontId="1" fillId="0" borderId="0" xfId="3" applyNumberFormat="1" applyFont="1" applyFill="1" applyBorder="1" applyAlignment="1" applyProtection="1">
      <alignment horizontal="left" vertical="center"/>
      <protection locked="0"/>
    </xf>
    <xf numFmtId="169" fontId="0" fillId="2" borderId="0" xfId="3" applyNumberFormat="1" applyFont="1" applyFill="1" applyBorder="1" applyAlignment="1" applyProtection="1">
      <alignment horizontal="right" vertical="center"/>
      <protection locked="0"/>
    </xf>
    <xf numFmtId="0" fontId="2" fillId="0" borderId="0" xfId="0" applyFont="1" applyFill="1" applyBorder="1" applyAlignment="1">
      <alignment horizontal="right"/>
    </xf>
    <xf numFmtId="5" fontId="2" fillId="0" borderId="0" xfId="0" applyNumberFormat="1" applyFont="1" applyBorder="1" applyAlignment="1"/>
    <xf numFmtId="164" fontId="2" fillId="0" borderId="0" xfId="0" applyNumberFormat="1" applyFont="1" applyBorder="1"/>
    <xf numFmtId="0" fontId="2" fillId="0" borderId="8" xfId="0" quotePrefix="1" applyFont="1" applyFill="1" applyBorder="1"/>
    <xf numFmtId="0" fontId="2" fillId="0" borderId="8" xfId="0" applyFont="1" applyFill="1" applyBorder="1"/>
    <xf numFmtId="166" fontId="2" fillId="0" borderId="8" xfId="0" applyNumberFormat="1" applyFont="1" applyFill="1" applyBorder="1" applyAlignment="1">
      <alignment horizontal="center"/>
    </xf>
    <xf numFmtId="0" fontId="3" fillId="0" borderId="8" xfId="0" applyFont="1" applyBorder="1"/>
    <xf numFmtId="166" fontId="3" fillId="0" borderId="8" xfId="0" applyNumberFormat="1" applyFont="1" applyBorder="1" applyAlignment="1">
      <alignment horizontal="center"/>
    </xf>
    <xf numFmtId="37" fontId="18" fillId="0" borderId="0" xfId="3" applyNumberFormat="1" applyFont="1" applyBorder="1"/>
    <xf numFmtId="0" fontId="3" fillId="0" borderId="0" xfId="0" applyFont="1" applyBorder="1" applyAlignment="1">
      <alignment horizontal="left"/>
    </xf>
    <xf numFmtId="39" fontId="3" fillId="0" borderId="0" xfId="3" applyNumberFormat="1" applyFont="1" applyBorder="1"/>
    <xf numFmtId="0" fontId="0" fillId="0" borderId="0" xfId="0" applyFont="1" applyBorder="1"/>
    <xf numFmtId="0" fontId="0" fillId="0" borderId="0" xfId="0" applyFont="1" applyBorder="1" applyAlignment="1">
      <alignment horizontal="left"/>
    </xf>
    <xf numFmtId="0" fontId="19" fillId="0" borderId="2" xfId="0" applyFont="1" applyBorder="1"/>
    <xf numFmtId="37" fontId="3" fillId="0" borderId="4" xfId="3" applyNumberFormat="1" applyFont="1" applyBorder="1"/>
    <xf numFmtId="0" fontId="11" fillId="0" borderId="5" xfId="0" applyFont="1" applyFill="1" applyBorder="1" applyAlignment="1">
      <alignment horizontal="left"/>
    </xf>
    <xf numFmtId="0" fontId="15" fillId="0" borderId="5" xfId="0" applyFont="1" applyBorder="1"/>
    <xf numFmtId="37" fontId="3" fillId="0" borderId="6" xfId="3" applyNumberFormat="1" applyFont="1" applyBorder="1" applyAlignment="1">
      <alignment horizontal="left" vertical="center"/>
    </xf>
    <xf numFmtId="37" fontId="3" fillId="0" borderId="6" xfId="3" applyNumberFormat="1" applyFont="1" applyBorder="1"/>
    <xf numFmtId="0" fontId="15" fillId="0" borderId="7" xfId="0" applyFont="1" applyBorder="1"/>
    <xf numFmtId="37" fontId="3" fillId="0" borderId="14" xfId="3" applyNumberFormat="1" applyFont="1" applyBorder="1"/>
    <xf numFmtId="0" fontId="19" fillId="0" borderId="5" xfId="0" applyFont="1" applyBorder="1"/>
    <xf numFmtId="37" fontId="3" fillId="0" borderId="3" xfId="3" applyNumberFormat="1" applyFont="1" applyBorder="1"/>
    <xf numFmtId="0" fontId="3" fillId="0" borderId="9" xfId="0" applyFont="1" applyBorder="1" applyAlignment="1">
      <alignment horizontal="left"/>
    </xf>
    <xf numFmtId="0" fontId="0" fillId="0" borderId="10" xfId="0" applyBorder="1"/>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20" fillId="0" borderId="4" xfId="0" applyFont="1" applyBorder="1" applyAlignment="1">
      <alignment horizontal="right"/>
    </xf>
    <xf numFmtId="18" fontId="20" fillId="0" borderId="12" xfId="0" quotePrefix="1" applyNumberFormat="1" applyFont="1" applyBorder="1" applyAlignment="1">
      <alignment horizontal="center" vertical="center"/>
    </xf>
    <xf numFmtId="18" fontId="20" fillId="0" borderId="13" xfId="0" quotePrefix="1" applyNumberFormat="1" applyFont="1" applyBorder="1" applyAlignment="1">
      <alignment horizontal="center" vertical="center"/>
    </xf>
    <xf numFmtId="18" fontId="20" fillId="0" borderId="3" xfId="0" quotePrefix="1" applyNumberFormat="1" applyFont="1" applyBorder="1" applyAlignment="1">
      <alignment horizontal="center" vertical="center"/>
    </xf>
    <xf numFmtId="18" fontId="20" fillId="0" borderId="4" xfId="0" quotePrefix="1" applyNumberFormat="1" applyFont="1" applyBorder="1" applyAlignment="1">
      <alignment horizontal="center" vertical="center"/>
    </xf>
    <xf numFmtId="18" fontId="20" fillId="0" borderId="8" xfId="0" quotePrefix="1" applyNumberFormat="1" applyFont="1" applyBorder="1" applyAlignment="1">
      <alignment horizontal="center" vertical="center"/>
    </xf>
    <xf numFmtId="18" fontId="20" fillId="0" borderId="14" xfId="0" quotePrefix="1" applyNumberFormat="1" applyFont="1" applyBorder="1" applyAlignment="1">
      <alignment horizontal="center" vertical="center"/>
    </xf>
    <xf numFmtId="0" fontId="2" fillId="0" borderId="7" xfId="0" applyFont="1" applyFill="1" applyBorder="1" applyAlignment="1">
      <alignment horizontal="left"/>
    </xf>
    <xf numFmtId="0" fontId="20" fillId="0" borderId="14" xfId="0" applyFont="1" applyBorder="1" applyAlignment="1">
      <alignment horizontal="right"/>
    </xf>
    <xf numFmtId="0" fontId="4" fillId="0" borderId="9" xfId="0" applyFont="1" applyBorder="1" applyAlignment="1">
      <alignment horizontal="centerContinuous"/>
    </xf>
    <xf numFmtId="0" fontId="0" fillId="0" borderId="10" xfId="0" applyBorder="1" applyAlignment="1">
      <alignment horizontal="centerContinuous"/>
    </xf>
    <xf numFmtId="0" fontId="0" fillId="0" borderId="11" xfId="0" applyBorder="1" applyAlignment="1">
      <alignment horizontal="centerContinuous"/>
    </xf>
    <xf numFmtId="0" fontId="3" fillId="0" borderId="0" xfId="0" applyFont="1" applyFill="1" applyProtection="1">
      <protection locked="0"/>
    </xf>
    <xf numFmtId="9" fontId="9" fillId="0" borderId="5" xfId="2" applyFont="1" applyFill="1" applyBorder="1" applyAlignment="1" applyProtection="1">
      <alignment horizontal="center"/>
    </xf>
    <xf numFmtId="9" fontId="9" fillId="0" borderId="0" xfId="2" applyFont="1" applyFill="1" applyAlignment="1" applyProtection="1">
      <alignment horizontal="center"/>
    </xf>
    <xf numFmtId="0" fontId="3" fillId="0" borderId="0" xfId="0" applyFont="1" applyFill="1" applyAlignment="1"/>
    <xf numFmtId="0" fontId="0" fillId="0" borderId="0" xfId="0" applyFill="1" applyAlignment="1"/>
    <xf numFmtId="0" fontId="3" fillId="3" borderId="0" xfId="0" applyFont="1" applyFill="1" applyAlignment="1" applyProtection="1">
      <alignment horizontal="center"/>
      <protection locked="0"/>
    </xf>
    <xf numFmtId="9" fontId="0" fillId="0" borderId="0" xfId="2" applyFont="1" applyFill="1" applyAlignment="1" applyProtection="1">
      <alignment horizontal="center"/>
      <protection locked="0"/>
    </xf>
    <xf numFmtId="0" fontId="3" fillId="0" borderId="0" xfId="0" applyFont="1" applyFill="1" applyAlignment="1">
      <alignment horizontal="right"/>
    </xf>
    <xf numFmtId="9" fontId="3" fillId="0" borderId="0" xfId="2" applyFont="1" applyFill="1"/>
    <xf numFmtId="7" fontId="8" fillId="0" borderId="0" xfId="0" applyNumberFormat="1" applyFont="1" applyFill="1" applyBorder="1" applyAlignment="1">
      <alignment horizontal="right"/>
    </xf>
    <xf numFmtId="0" fontId="8" fillId="0" borderId="0" xfId="0" applyFont="1" applyFill="1" applyBorder="1" applyAlignment="1">
      <alignment horizontal="left"/>
    </xf>
    <xf numFmtId="0" fontId="2" fillId="0" borderId="0" xfId="0" applyFont="1" applyBorder="1" applyAlignment="1">
      <alignment horizontal="center"/>
    </xf>
    <xf numFmtId="0" fontId="2" fillId="0" borderId="0" xfId="0" applyFont="1" applyAlignment="1">
      <alignment horizontal="right"/>
    </xf>
    <xf numFmtId="7" fontId="13" fillId="0" borderId="0" xfId="0" applyNumberFormat="1" applyFont="1" applyBorder="1" applyAlignment="1">
      <alignment horizontal="left"/>
    </xf>
    <xf numFmtId="9" fontId="11" fillId="0" borderId="0" xfId="0" applyNumberFormat="1" applyFont="1"/>
    <xf numFmtId="7" fontId="13" fillId="0" borderId="0" xfId="0" applyNumberFormat="1" applyFont="1" applyBorder="1" applyAlignment="1"/>
    <xf numFmtId="0" fontId="8" fillId="0" borderId="8" xfId="0" applyFont="1" applyBorder="1" applyAlignment="1"/>
    <xf numFmtId="0" fontId="2" fillId="0" borderId="2" xfId="0" applyFont="1" applyFill="1" applyBorder="1"/>
    <xf numFmtId="0" fontId="0" fillId="0" borderId="4" xfId="0" applyBorder="1"/>
    <xf numFmtId="0" fontId="3" fillId="0" borderId="0" xfId="0" applyFont="1" applyProtection="1"/>
    <xf numFmtId="0" fontId="12" fillId="0" borderId="0" xfId="0" applyFont="1" applyProtection="1"/>
    <xf numFmtId="16" fontId="3" fillId="0" borderId="0" xfId="0" applyNumberFormat="1" applyFont="1" applyProtection="1"/>
    <xf numFmtId="14" fontId="3" fillId="0" borderId="0" xfId="0" applyNumberFormat="1" applyFont="1" applyFill="1" applyAlignment="1"/>
    <xf numFmtId="0" fontId="3" fillId="0" borderId="0" xfId="0" applyFont="1" applyFill="1" applyAlignment="1">
      <alignment horizontal="left"/>
    </xf>
    <xf numFmtId="7" fontId="3" fillId="0" borderId="0" xfId="1" applyNumberFormat="1" applyFont="1" applyFill="1" applyBorder="1" applyAlignment="1">
      <alignment horizontal="left"/>
    </xf>
    <xf numFmtId="0" fontId="2" fillId="9" borderId="21" xfId="0" applyFont="1" applyFill="1" applyBorder="1" applyAlignment="1">
      <alignment horizontal="center"/>
    </xf>
    <xf numFmtId="14" fontId="3" fillId="0" borderId="0" xfId="0" applyNumberFormat="1" applyFont="1" applyFill="1" applyAlignment="1">
      <alignment horizontal="right"/>
    </xf>
    <xf numFmtId="0" fontId="0" fillId="0" borderId="0" xfId="0" applyAlignment="1"/>
    <xf numFmtId="164" fontId="2" fillId="0" borderId="0" xfId="0" applyNumberFormat="1" applyFont="1" applyBorder="1" applyAlignment="1">
      <alignment horizontal="right"/>
    </xf>
    <xf numFmtId="9" fontId="11" fillId="0" borderId="0" xfId="2" applyFont="1" applyFill="1" applyAlignment="1">
      <alignment horizontal="right"/>
    </xf>
    <xf numFmtId="9" fontId="0" fillId="0" borderId="0" xfId="0" applyNumberFormat="1" applyFont="1" applyFill="1" applyBorder="1" applyAlignment="1" applyProtection="1"/>
    <xf numFmtId="0" fontId="0" fillId="0" borderId="0" xfId="0" applyFont="1" applyFill="1" applyBorder="1" applyAlignment="1" applyProtection="1"/>
    <xf numFmtId="0" fontId="2" fillId="9" borderId="21" xfId="0" applyFont="1" applyFill="1" applyBorder="1" applyAlignment="1"/>
    <xf numFmtId="0" fontId="3" fillId="0" borderId="12" xfId="0" applyFont="1" applyBorder="1" applyAlignment="1">
      <alignment horizontal="center" wrapText="1"/>
    </xf>
    <xf numFmtId="2" fontId="11" fillId="0" borderId="0" xfId="0" applyNumberFormat="1" applyFont="1" applyFill="1" applyAlignment="1">
      <alignment horizontal="right"/>
    </xf>
    <xf numFmtId="0" fontId="11" fillId="0" borderId="0" xfId="0" applyFont="1" applyFill="1" applyAlignment="1">
      <alignment horizontal="right"/>
    </xf>
    <xf numFmtId="0" fontId="11" fillId="0" borderId="0" xfId="0" applyFont="1" applyFill="1" applyAlignment="1">
      <alignment horizontal="left"/>
    </xf>
    <xf numFmtId="1" fontId="11" fillId="0" borderId="0" xfId="0" applyNumberFormat="1" applyFont="1" applyFill="1" applyAlignment="1">
      <alignment horizontal="center"/>
    </xf>
    <xf numFmtId="164" fontId="3" fillId="0" borderId="0" xfId="0" applyNumberFormat="1" applyFont="1" applyFill="1" applyBorder="1" applyAlignment="1">
      <alignment horizontal="center"/>
    </xf>
    <xf numFmtId="164" fontId="3" fillId="8" borderId="0" xfId="0" applyNumberFormat="1" applyFont="1" applyFill="1" applyBorder="1" applyAlignment="1" applyProtection="1">
      <alignment horizontal="center"/>
      <protection locked="0"/>
    </xf>
    <xf numFmtId="0" fontId="25" fillId="0" borderId="0" xfId="0" applyFont="1" applyAlignment="1">
      <alignment horizontal="left"/>
    </xf>
    <xf numFmtId="37" fontId="11" fillId="0" borderId="0" xfId="3" applyNumberFormat="1" applyFont="1" applyFill="1" applyAlignment="1">
      <alignment horizontal="left"/>
    </xf>
    <xf numFmtId="0" fontId="11" fillId="0" borderId="0" xfId="0" applyFont="1" applyFill="1"/>
    <xf numFmtId="9" fontId="11" fillId="0" borderId="0" xfId="0" applyNumberFormat="1" applyFont="1" applyFill="1" applyAlignment="1">
      <alignment horizontal="left"/>
    </xf>
    <xf numFmtId="37" fontId="11" fillId="0" borderId="6" xfId="3" applyNumberFormat="1" applyFont="1" applyFill="1" applyBorder="1"/>
    <xf numFmtId="0" fontId="18" fillId="0" borderId="0" xfId="0" applyFont="1" applyFill="1"/>
    <xf numFmtId="37" fontId="18" fillId="0" borderId="0" xfId="3" applyNumberFormat="1" applyFont="1" applyFill="1"/>
    <xf numFmtId="1" fontId="24" fillId="0" borderId="0" xfId="2" applyNumberFormat="1" applyFont="1" applyFill="1" applyAlignment="1" applyProtection="1">
      <alignment horizontal="center"/>
      <protection locked="0"/>
    </xf>
    <xf numFmtId="0" fontId="2" fillId="9" borderId="21" xfId="0" applyFont="1" applyFill="1" applyBorder="1" applyAlignment="1">
      <alignment horizontal="center"/>
    </xf>
    <xf numFmtId="9" fontId="3" fillId="0" borderId="0" xfId="2" applyNumberFormat="1" applyFont="1" applyBorder="1" applyAlignment="1">
      <alignment horizontal="center"/>
    </xf>
    <xf numFmtId="37" fontId="3" fillId="0" borderId="0" xfId="0" applyNumberFormat="1" applyFont="1" applyBorder="1" applyAlignment="1">
      <alignment horizontal="center"/>
    </xf>
    <xf numFmtId="0" fontId="3" fillId="0" borderId="0" xfId="0" applyFont="1" applyBorder="1" applyAlignment="1">
      <alignment horizontal="center"/>
    </xf>
    <xf numFmtId="164" fontId="3" fillId="0" borderId="21" xfId="0" applyNumberFormat="1" applyFont="1" applyBorder="1" applyAlignment="1">
      <alignment horizontal="center"/>
    </xf>
    <xf numFmtId="166" fontId="3" fillId="0" borderId="16" xfId="0" applyNumberFormat="1" applyFont="1" applyBorder="1" applyAlignment="1">
      <alignment horizontal="center"/>
    </xf>
    <xf numFmtId="37" fontId="3" fillId="0" borderId="0" xfId="3" applyNumberFormat="1" applyFont="1" applyBorder="1" applyAlignment="1">
      <alignment horizontal="center"/>
    </xf>
    <xf numFmtId="0" fontId="3" fillId="0" borderId="21" xfId="0" applyFont="1" applyBorder="1" applyAlignment="1">
      <alignment horizontal="center"/>
    </xf>
    <xf numFmtId="0" fontId="0" fillId="2" borderId="0" xfId="0" applyFont="1" applyFill="1" applyBorder="1" applyAlignment="1" applyProtection="1">
      <alignment horizontal="left"/>
      <protection locked="0"/>
    </xf>
    <xf numFmtId="0" fontId="0" fillId="2" borderId="6" xfId="0" applyFont="1" applyFill="1" applyBorder="1" applyAlignment="1" applyProtection="1">
      <alignment horizontal="left"/>
      <protection locked="0"/>
    </xf>
    <xf numFmtId="166" fontId="2" fillId="0" borderId="0" xfId="0" applyNumberFormat="1" applyFont="1" applyFill="1" applyBorder="1" applyAlignment="1">
      <alignment horizontal="center"/>
    </xf>
    <xf numFmtId="166" fontId="2" fillId="0" borderId="16" xfId="0" applyNumberFormat="1" applyFont="1" applyFill="1" applyBorder="1" applyAlignment="1">
      <alignment horizontal="center"/>
    </xf>
    <xf numFmtId="7" fontId="13" fillId="0" borderId="0" xfId="0" applyNumberFormat="1" applyFont="1" applyBorder="1" applyAlignment="1">
      <alignment horizontal="center"/>
    </xf>
    <xf numFmtId="7" fontId="8" fillId="0" borderId="8" xfId="0" applyNumberFormat="1" applyFont="1" applyBorder="1" applyAlignment="1">
      <alignment horizontal="center"/>
    </xf>
    <xf numFmtId="0" fontId="3" fillId="10" borderId="0" xfId="0" applyFont="1" applyFill="1" applyAlignment="1">
      <alignment horizontal="left" vertical="top" wrapText="1"/>
    </xf>
    <xf numFmtId="0" fontId="0" fillId="2" borderId="0" xfId="0" applyFont="1" applyFill="1" applyAlignment="1" applyProtection="1">
      <alignment horizontal="center"/>
      <protection locked="0"/>
    </xf>
    <xf numFmtId="9" fontId="0" fillId="2" borderId="0" xfId="2" applyFont="1" applyFill="1" applyAlignment="1" applyProtection="1">
      <alignment horizontal="center"/>
      <protection locked="0"/>
    </xf>
    <xf numFmtId="37" fontId="3" fillId="0" borderId="3" xfId="0" applyNumberFormat="1" applyFont="1" applyBorder="1" applyAlignment="1">
      <alignment horizontal="right"/>
    </xf>
    <xf numFmtId="37" fontId="0" fillId="2" borderId="0" xfId="3" applyNumberFormat="1" applyFont="1" applyFill="1" applyAlignment="1" applyProtection="1">
      <alignment horizontal="center"/>
      <protection locked="0"/>
    </xf>
    <xf numFmtId="0" fontId="0" fillId="2" borderId="0" xfId="0" applyFont="1" applyFill="1" applyAlignment="1" applyProtection="1">
      <alignment horizontal="left"/>
      <protection locked="0"/>
    </xf>
    <xf numFmtId="0" fontId="23" fillId="10" borderId="0" xfId="0" applyFont="1" applyFill="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66" fontId="3" fillId="0" borderId="0" xfId="0" applyNumberFormat="1" applyFont="1" applyBorder="1" applyAlignment="1">
      <alignment horizontal="center"/>
    </xf>
    <xf numFmtId="9" fontId="3" fillId="0" borderId="16" xfId="2" applyNumberFormat="1" applyFont="1" applyBorder="1" applyAlignment="1">
      <alignment horizontal="center"/>
    </xf>
    <xf numFmtId="0" fontId="3" fillId="0" borderId="16" xfId="0" applyFont="1" applyBorder="1" applyAlignment="1">
      <alignment horizontal="center"/>
    </xf>
    <xf numFmtId="5" fontId="2" fillId="0" borderId="0" xfId="0" applyNumberFormat="1" applyFont="1" applyBorder="1" applyAlignment="1">
      <alignment horizontal="center"/>
    </xf>
    <xf numFmtId="166" fontId="2" fillId="0" borderId="16" xfId="0" applyNumberFormat="1"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9" fontId="3" fillId="0" borderId="0" xfId="2" applyFont="1" applyBorder="1" applyAlignment="1">
      <alignment horizontal="center"/>
    </xf>
    <xf numFmtId="7" fontId="13" fillId="0" borderId="0" xfId="0" applyNumberFormat="1" applyFont="1" applyBorder="1" applyAlignment="1">
      <alignment horizontal="right"/>
    </xf>
    <xf numFmtId="166" fontId="2" fillId="0" borderId="0" xfId="0" applyNumberFormat="1" applyFont="1" applyBorder="1" applyAlignment="1">
      <alignment horizontal="center"/>
    </xf>
    <xf numFmtId="9" fontId="1" fillId="2" borderId="0" xfId="2" applyFont="1" applyFill="1" applyBorder="1" applyAlignment="1" applyProtection="1">
      <alignment horizontal="center"/>
      <protection locked="0"/>
    </xf>
    <xf numFmtId="9" fontId="0" fillId="0" borderId="0" xfId="0" applyNumberFormat="1" applyFont="1" applyFill="1" applyBorder="1" applyAlignment="1" applyProtection="1">
      <alignment horizontal="left"/>
    </xf>
    <xf numFmtId="0" fontId="0" fillId="0" borderId="0" xfId="0" applyFont="1" applyFill="1" applyBorder="1" applyAlignment="1" applyProtection="1">
      <alignment horizontal="left"/>
    </xf>
    <xf numFmtId="0" fontId="0" fillId="0" borderId="6" xfId="0" applyFont="1" applyFill="1" applyBorder="1" applyAlignment="1" applyProtection="1">
      <alignment horizontal="left"/>
    </xf>
    <xf numFmtId="0" fontId="3" fillId="10" borderId="0" xfId="0" applyFont="1" applyFill="1" applyBorder="1" applyAlignment="1">
      <alignment horizontal="left"/>
    </xf>
    <xf numFmtId="7" fontId="8" fillId="0" borderId="21" xfId="0" applyNumberFormat="1" applyFont="1" applyBorder="1" applyAlignment="1">
      <alignment horizontal="right"/>
    </xf>
    <xf numFmtId="0" fontId="8" fillId="0" borderId="21" xfId="0" applyFont="1" applyBorder="1" applyAlignment="1">
      <alignment horizontal="left"/>
    </xf>
    <xf numFmtId="0" fontId="3" fillId="0" borderId="0" xfId="0" applyFont="1" applyFill="1" applyAlignment="1">
      <alignment horizontal="left"/>
    </xf>
    <xf numFmtId="0" fontId="0" fillId="0" borderId="0" xfId="0" applyAlignment="1">
      <alignment horizontal="left"/>
    </xf>
  </cellXfs>
  <cellStyles count="4">
    <cellStyle name="Comma" xfId="3" builtinId="3"/>
    <cellStyle name="Currency" xfId="1" builtinId="4"/>
    <cellStyle name="Normal" xfId="0" builtinId="0"/>
    <cellStyle name="Percent" xfId="2" builtinId="5"/>
  </cellStyles>
  <dxfs count="260">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strike val="0"/>
      </font>
      <fill>
        <patternFill>
          <bgColor rgb="FFFFC000"/>
        </patternFill>
      </fill>
    </dxf>
    <dxf>
      <fill>
        <patternFill>
          <bgColor rgb="FFFF0000"/>
        </patternFill>
      </fill>
    </dxf>
    <dxf>
      <fill>
        <patternFill>
          <bgColor rgb="FF92D050"/>
        </patternFill>
      </fill>
    </dxf>
    <dxf>
      <font>
        <color auto="1"/>
      </font>
      <fill>
        <patternFill>
          <bgColor theme="4" tint="0.79998168889431442"/>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FF99"/>
        </patternFill>
      </fill>
    </dxf>
    <dxf>
      <fill>
        <patternFill>
          <bgColor theme="5" tint="0.59996337778862885"/>
        </patternFill>
      </fill>
    </dxf>
    <dxf>
      <font>
        <color theme="0"/>
      </font>
      <fill>
        <patternFill>
          <bgColor theme="1" tint="4.9989318521683403E-2"/>
        </patternFill>
      </fill>
      <border>
        <left/>
        <right/>
        <top/>
        <bottom/>
        <vertical/>
        <horizontal/>
      </border>
    </dxf>
    <dxf>
      <font>
        <strike val="0"/>
      </font>
      <fill>
        <patternFill>
          <bgColor rgb="FFFFC000"/>
        </patternFill>
      </fill>
    </dxf>
    <dxf>
      <fill>
        <patternFill>
          <bgColor rgb="FFFF0000"/>
        </patternFill>
      </fill>
    </dxf>
    <dxf>
      <fill>
        <patternFill>
          <bgColor rgb="FF92D050"/>
        </patternFill>
      </fill>
    </dxf>
    <dxf>
      <font>
        <color auto="1"/>
      </font>
      <fill>
        <patternFill>
          <bgColor theme="4" tint="0.79998168889431442"/>
        </patternFill>
      </fill>
    </dxf>
    <dxf>
      <fill>
        <patternFill>
          <bgColor rgb="FFFFFF99"/>
        </patternFill>
      </fill>
    </dxf>
    <dxf>
      <font>
        <color theme="0"/>
      </font>
      <fill>
        <patternFill>
          <bgColor theme="1" tint="4.9989318521683403E-2"/>
        </patternFill>
      </fill>
      <border>
        <left/>
        <right/>
        <top/>
        <bottom/>
        <vertical/>
        <horizontal/>
      </border>
    </dxf>
    <dxf>
      <font>
        <strike val="0"/>
      </font>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201C1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www.calstart.org/Libraries/Publications/Peak_Demand_Charges_and_Electric_Transit_Buses_White_Paper.sflb.ashx" TargetMode="External"/><Relationship Id="rId2" Type="http://schemas.openxmlformats.org/officeDocument/2006/relationships/hyperlink" Target="mailto:matthew.williams@arb.ca.gov" TargetMode="External"/><Relationship Id="rId1" Type="http://schemas.openxmlformats.org/officeDocument/2006/relationships/hyperlink" Target="http://www.arb.ca.gov/msprog/bus/ratesanddemand.pdf" TargetMode="External"/><Relationship Id="rId4" Type="http://schemas.openxmlformats.org/officeDocument/2006/relationships/hyperlink" Target="https://www.arb.ca.gov/msprog/bus/ratesanddemand.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28575</xdr:colOff>
          <xdr:row>0</xdr:row>
          <xdr:rowOff>123825</xdr:rowOff>
        </xdr:from>
        <xdr:to>
          <xdr:col>16</xdr:col>
          <xdr:colOff>38100</xdr:colOff>
          <xdr:row>3</xdr:row>
          <xdr:rowOff>142875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Workbook (for advanced edits)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xdr:row>
          <xdr:rowOff>19050</xdr:rowOff>
        </xdr:from>
        <xdr:to>
          <xdr:col>16</xdr:col>
          <xdr:colOff>38100</xdr:colOff>
          <xdr:row>7</xdr:row>
          <xdr:rowOff>85725</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Re-Protect Workbook</a:t>
              </a:r>
            </a:p>
          </xdr:txBody>
        </xdr:sp>
        <xdr:clientData fPrintsWithSheet="0"/>
      </xdr:twoCellAnchor>
    </mc:Choice>
    <mc:Fallback/>
  </mc:AlternateContent>
  <xdr:twoCellAnchor>
    <xdr:from>
      <xdr:col>0</xdr:col>
      <xdr:colOff>47625</xdr:colOff>
      <xdr:row>0</xdr:row>
      <xdr:rowOff>57150</xdr:rowOff>
    </xdr:from>
    <xdr:to>
      <xdr:col>13</xdr:col>
      <xdr:colOff>590550</xdr:colOff>
      <xdr:row>63</xdr:row>
      <xdr:rowOff>171450</xdr:rowOff>
    </xdr:to>
    <xdr:grpSp>
      <xdr:nvGrpSpPr>
        <xdr:cNvPr id="7" name="Group 6"/>
        <xdr:cNvGrpSpPr/>
      </xdr:nvGrpSpPr>
      <xdr:grpSpPr>
        <a:xfrm>
          <a:off x="47625" y="57150"/>
          <a:ext cx="8467725" cy="12115800"/>
          <a:chOff x="0" y="38100"/>
          <a:chExt cx="8467725" cy="12115800"/>
        </a:xfrm>
      </xdr:grpSpPr>
      <xdr:grpSp>
        <xdr:nvGrpSpPr>
          <xdr:cNvPr id="8" name="Group 7"/>
          <xdr:cNvGrpSpPr/>
        </xdr:nvGrpSpPr>
        <xdr:grpSpPr>
          <a:xfrm>
            <a:off x="0" y="38100"/>
            <a:ext cx="8467725" cy="12115800"/>
            <a:chOff x="28575" y="38100"/>
            <a:chExt cx="8467725" cy="12115800"/>
          </a:xfrm>
        </xdr:grpSpPr>
        <mc:AlternateContent xmlns:mc="http://schemas.openxmlformats.org/markup-compatibility/2006">
          <mc:Choice xmlns:a14="http://schemas.microsoft.com/office/drawing/2010/main" Requires="a14">
            <xdr:sp macro="" textlink="">
              <xdr:nvSpPr>
                <xdr:cNvPr id="4098" name="Object 2" hidden="1">
                  <a:extLst>
                    <a:ext uri="{63B3BB69-23CF-44E3-9099-C40C66FF867C}">
                      <a14:compatExt spid="_x0000_s4098"/>
                    </a:ext>
                  </a:extLst>
                </xdr:cNvPr>
                <xdr:cNvSpPr/>
              </xdr:nvSpPr>
              <xdr:spPr bwMode="auto">
                <a:xfrm>
                  <a:off x="38100" y="38100"/>
                  <a:ext cx="8458200" cy="1211580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10" name="Rectangle 9">
              <a:hlinkClick xmlns:r="http://schemas.openxmlformats.org/officeDocument/2006/relationships" r:id="rId1"/>
            </xdr:cNvPr>
            <xdr:cNvSpPr/>
          </xdr:nvSpPr>
          <xdr:spPr>
            <a:xfrm>
              <a:off x="4076700" y="1295400"/>
              <a:ext cx="16287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hlinkClick xmlns:r="http://schemas.openxmlformats.org/officeDocument/2006/relationships" r:id="rId2"/>
            </xdr:cNvPr>
            <xdr:cNvSpPr/>
          </xdr:nvSpPr>
          <xdr:spPr>
            <a:xfrm>
              <a:off x="4495800" y="7943850"/>
              <a:ext cx="17621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Rectangle 11">
              <a:hlinkClick xmlns:r="http://schemas.openxmlformats.org/officeDocument/2006/relationships" r:id="rId3"/>
            </xdr:cNvPr>
            <xdr:cNvSpPr/>
          </xdr:nvSpPr>
          <xdr:spPr>
            <a:xfrm>
              <a:off x="6581775" y="5200650"/>
              <a:ext cx="18478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12">
              <a:hlinkClick xmlns:r="http://schemas.openxmlformats.org/officeDocument/2006/relationships" r:id="rId3"/>
            </xdr:cNvPr>
            <xdr:cNvSpPr/>
          </xdr:nvSpPr>
          <xdr:spPr>
            <a:xfrm>
              <a:off x="28575" y="5362575"/>
              <a:ext cx="27622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 name="Rectangle 1">
            <a:hlinkClick xmlns:r="http://schemas.openxmlformats.org/officeDocument/2006/relationships" r:id="rId2"/>
          </xdr:cNvPr>
          <xdr:cNvSpPr/>
        </xdr:nvSpPr>
        <xdr:spPr>
          <a:xfrm>
            <a:off x="4448175" y="11334750"/>
            <a:ext cx="17430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hlinkClick xmlns:r="http://schemas.openxmlformats.org/officeDocument/2006/relationships" r:id="rId3"/>
          </xdr:cNvPr>
          <xdr:cNvSpPr/>
        </xdr:nvSpPr>
        <xdr:spPr>
          <a:xfrm>
            <a:off x="2247900" y="8448675"/>
            <a:ext cx="276225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title="Link: electricity rate summary document">
            <a:hlinkClick xmlns:r="http://schemas.openxmlformats.org/officeDocument/2006/relationships" r:id="rId4"/>
          </xdr:cNvPr>
          <xdr:cNvSpPr/>
        </xdr:nvSpPr>
        <xdr:spPr>
          <a:xfrm>
            <a:off x="4857750" y="1628775"/>
            <a:ext cx="1600200"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16" title="Link: electricity rate summary document">
            <a:hlinkClick xmlns:r="http://schemas.openxmlformats.org/officeDocument/2006/relationships" r:id="rId4"/>
          </xdr:cNvPr>
          <xdr:cNvSpPr/>
        </xdr:nvSpPr>
        <xdr:spPr>
          <a:xfrm>
            <a:off x="3771900" y="11163300"/>
            <a:ext cx="28575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11</xdr:row>
      <xdr:rowOff>133350</xdr:rowOff>
    </xdr:from>
    <xdr:to>
      <xdr:col>22</xdr:col>
      <xdr:colOff>316149</xdr:colOff>
      <xdr:row>17</xdr:row>
      <xdr:rowOff>24361</xdr:rowOff>
    </xdr:to>
    <xdr:grpSp>
      <xdr:nvGrpSpPr>
        <xdr:cNvPr id="3" name="Group 2"/>
        <xdr:cNvGrpSpPr/>
      </xdr:nvGrpSpPr>
      <xdr:grpSpPr>
        <a:xfrm>
          <a:off x="2647950" y="2381250"/>
          <a:ext cx="6164499" cy="1034011"/>
          <a:chOff x="123825" y="2266950"/>
          <a:chExt cx="5783500" cy="1034011"/>
        </a:xfrm>
      </xdr:grpSpPr>
      <xdr:grpSp>
        <xdr:nvGrpSpPr>
          <xdr:cNvPr id="54" name="Group 53"/>
          <xdr:cNvGrpSpPr>
            <a:grpSpLocks noChangeAspect="1"/>
          </xdr:cNvGrpSpPr>
        </xdr:nvGrpSpPr>
        <xdr:grpSpPr>
          <a:xfrm>
            <a:off x="759077" y="2319645"/>
            <a:ext cx="578253" cy="271463"/>
            <a:chOff x="5012531" y="2990850"/>
            <a:chExt cx="788194" cy="361950"/>
          </a:xfrm>
        </xdr:grpSpPr>
        <xdr:sp macro="" textlink="">
          <xdr:nvSpPr>
            <xdr:cNvPr id="100" name="Oval 99"/>
            <xdr:cNvSpPr/>
          </xdr:nvSpPr>
          <xdr:spPr>
            <a:xfrm>
              <a:off x="5105400" y="3200400"/>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01" name="Oval 100"/>
            <xdr:cNvSpPr/>
          </xdr:nvSpPr>
          <xdr:spPr>
            <a:xfrm>
              <a:off x="5562600" y="3200400"/>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02" name="Freeform 101"/>
            <xdr:cNvSpPr/>
          </xdr:nvSpPr>
          <xdr:spPr>
            <a:xfrm>
              <a:off x="5012531" y="2990850"/>
              <a:ext cx="788194" cy="292894"/>
            </a:xfrm>
            <a:custGeom>
              <a:avLst/>
              <a:gdLst>
                <a:gd name="connsiteX0" fmla="*/ 78582 w 788194"/>
                <a:gd name="connsiteY0" fmla="*/ 0 h 292894"/>
                <a:gd name="connsiteX1" fmla="*/ 633413 w 788194"/>
                <a:gd name="connsiteY1" fmla="*/ 4763 h 292894"/>
                <a:gd name="connsiteX2" fmla="*/ 757238 w 788194"/>
                <a:gd name="connsiteY2" fmla="*/ 138113 h 292894"/>
                <a:gd name="connsiteX3" fmla="*/ 754857 w 788194"/>
                <a:gd name="connsiteY3" fmla="*/ 245269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8194" h="292894">
                  <a:moveTo>
                    <a:pt x="78582" y="0"/>
                  </a:moveTo>
                  <a:lnTo>
                    <a:pt x="633413" y="4763"/>
                  </a:lnTo>
                  <a:lnTo>
                    <a:pt x="757238" y="138113"/>
                  </a:lnTo>
                  <a:cubicBezTo>
                    <a:pt x="756444" y="173832"/>
                    <a:pt x="755651" y="209550"/>
                    <a:pt x="754857" y="245269"/>
                  </a:cubicBezTo>
                  <a:lnTo>
                    <a:pt x="788194" y="247650"/>
                  </a:lnTo>
                  <a:lnTo>
                    <a:pt x="785813" y="292894"/>
                  </a:lnTo>
                  <a:lnTo>
                    <a:pt x="0" y="292894"/>
                  </a:lnTo>
                  <a:lnTo>
                    <a:pt x="0" y="252413"/>
                  </a:lnTo>
                  <a:lnTo>
                    <a:pt x="26194" y="250031"/>
                  </a:lnTo>
                  <a:lnTo>
                    <a:pt x="21432" y="130969"/>
                  </a:lnTo>
                  <a:lnTo>
                    <a:pt x="78582" y="0"/>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03" name="Freeform 102"/>
            <xdr:cNvSpPr/>
          </xdr:nvSpPr>
          <xdr:spPr>
            <a:xfrm>
              <a:off x="5569745" y="3024188"/>
              <a:ext cx="145256" cy="80962"/>
            </a:xfrm>
            <a:custGeom>
              <a:avLst/>
              <a:gdLst>
                <a:gd name="connsiteX0" fmla="*/ 64294 w 147638"/>
                <a:gd name="connsiteY0" fmla="*/ 0 h 102393"/>
                <a:gd name="connsiteX1" fmla="*/ 147638 w 147638"/>
                <a:gd name="connsiteY1" fmla="*/ 102393 h 102393"/>
                <a:gd name="connsiteX2" fmla="*/ 0 w 147638"/>
                <a:gd name="connsiteY2" fmla="*/ 97631 h 102393"/>
                <a:gd name="connsiteX3" fmla="*/ 0 w 147638"/>
                <a:gd name="connsiteY3" fmla="*/ 2381 h 102393"/>
                <a:gd name="connsiteX4" fmla="*/ 64294 w 147638"/>
                <a:gd name="connsiteY4" fmla="*/ 0 h 102393"/>
                <a:gd name="connsiteX0" fmla="*/ 64294 w 147638"/>
                <a:gd name="connsiteY0" fmla="*/ 0 h 104775"/>
                <a:gd name="connsiteX1" fmla="*/ 147638 w 147638"/>
                <a:gd name="connsiteY1" fmla="*/ 102393 h 104775"/>
                <a:gd name="connsiteX2" fmla="*/ 2382 w 147638"/>
                <a:gd name="connsiteY2" fmla="*/ 104775 h 104775"/>
                <a:gd name="connsiteX3" fmla="*/ 0 w 147638"/>
                <a:gd name="connsiteY3" fmla="*/ 2381 h 104775"/>
                <a:gd name="connsiteX4" fmla="*/ 64294 w 147638"/>
                <a:gd name="connsiteY4" fmla="*/ 0 h 104775"/>
                <a:gd name="connsiteX0" fmla="*/ 64294 w 157163"/>
                <a:gd name="connsiteY0" fmla="*/ 0 h 104775"/>
                <a:gd name="connsiteX1" fmla="*/ 157163 w 157163"/>
                <a:gd name="connsiteY1" fmla="*/ 102393 h 104775"/>
                <a:gd name="connsiteX2" fmla="*/ 2382 w 157163"/>
                <a:gd name="connsiteY2" fmla="*/ 104775 h 104775"/>
                <a:gd name="connsiteX3" fmla="*/ 0 w 157163"/>
                <a:gd name="connsiteY3" fmla="*/ 2381 h 104775"/>
                <a:gd name="connsiteX4" fmla="*/ 64294 w 157163"/>
                <a:gd name="connsiteY4" fmla="*/ 0 h 104775"/>
                <a:gd name="connsiteX0" fmla="*/ 66674 w 159543"/>
                <a:gd name="connsiteY0" fmla="*/ 0 h 102393"/>
                <a:gd name="connsiteX1" fmla="*/ 159543 w 159543"/>
                <a:gd name="connsiteY1" fmla="*/ 102393 h 102393"/>
                <a:gd name="connsiteX2" fmla="*/ 0 w 159543"/>
                <a:gd name="connsiteY2" fmla="*/ 80962 h 102393"/>
                <a:gd name="connsiteX3" fmla="*/ 2380 w 159543"/>
                <a:gd name="connsiteY3" fmla="*/ 2381 h 102393"/>
                <a:gd name="connsiteX4" fmla="*/ 66674 w 159543"/>
                <a:gd name="connsiteY4" fmla="*/ 0 h 102393"/>
                <a:gd name="connsiteX0" fmla="*/ 66674 w 142874"/>
                <a:gd name="connsiteY0" fmla="*/ 0 h 88105"/>
                <a:gd name="connsiteX1" fmla="*/ 142874 w 142874"/>
                <a:gd name="connsiteY1" fmla="*/ 88105 h 88105"/>
                <a:gd name="connsiteX2" fmla="*/ 0 w 142874"/>
                <a:gd name="connsiteY2" fmla="*/ 80962 h 88105"/>
                <a:gd name="connsiteX3" fmla="*/ 2380 w 142874"/>
                <a:gd name="connsiteY3" fmla="*/ 2381 h 88105"/>
                <a:gd name="connsiteX4" fmla="*/ 66674 w 142874"/>
                <a:gd name="connsiteY4" fmla="*/ 0 h 88105"/>
                <a:gd name="connsiteX0" fmla="*/ 66674 w 145256"/>
                <a:gd name="connsiteY0" fmla="*/ 0 h 80962"/>
                <a:gd name="connsiteX1" fmla="*/ 145256 w 145256"/>
                <a:gd name="connsiteY1" fmla="*/ 80961 h 80962"/>
                <a:gd name="connsiteX2" fmla="*/ 0 w 145256"/>
                <a:gd name="connsiteY2" fmla="*/ 80962 h 80962"/>
                <a:gd name="connsiteX3" fmla="*/ 2380 w 145256"/>
                <a:gd name="connsiteY3" fmla="*/ 2381 h 80962"/>
                <a:gd name="connsiteX4" fmla="*/ 66674 w 145256"/>
                <a:gd name="connsiteY4" fmla="*/ 0 h 809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5256" h="80962">
                  <a:moveTo>
                    <a:pt x="66674" y="0"/>
                  </a:moveTo>
                  <a:lnTo>
                    <a:pt x="145256" y="80961"/>
                  </a:lnTo>
                  <a:lnTo>
                    <a:pt x="0" y="80962"/>
                  </a:lnTo>
                  <a:cubicBezTo>
                    <a:pt x="793" y="54768"/>
                    <a:pt x="1587" y="28575"/>
                    <a:pt x="2380" y="2381"/>
                  </a:cubicBezTo>
                  <a:lnTo>
                    <a:pt x="66674" y="0"/>
                  </a:lnTo>
                  <a:close/>
                </a:path>
              </a:pathLst>
            </a:cu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55" name="Group 54"/>
          <xdr:cNvGrpSpPr>
            <a:grpSpLocks noChangeAspect="1"/>
          </xdr:cNvGrpSpPr>
        </xdr:nvGrpSpPr>
        <xdr:grpSpPr>
          <a:xfrm>
            <a:off x="1034077" y="2956462"/>
            <a:ext cx="486146" cy="274246"/>
            <a:chOff x="4686287" y="2900884"/>
            <a:chExt cx="785813" cy="433388"/>
          </a:xfrm>
        </xdr:grpSpPr>
        <xdr:sp macro="" textlink="">
          <xdr:nvSpPr>
            <xdr:cNvPr id="96" name="Oval 95"/>
            <xdr:cNvSpPr/>
          </xdr:nvSpPr>
          <xdr:spPr>
            <a:xfrm>
              <a:off x="4779158" y="3181872"/>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7" name="Oval 96"/>
            <xdr:cNvSpPr/>
          </xdr:nvSpPr>
          <xdr:spPr>
            <a:xfrm>
              <a:off x="5236359" y="3181872"/>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8" name="Freeform 97"/>
            <xdr:cNvSpPr/>
          </xdr:nvSpPr>
          <xdr:spPr>
            <a:xfrm>
              <a:off x="4686287" y="2900884"/>
              <a:ext cx="785813" cy="364332"/>
            </a:xfrm>
            <a:custGeom>
              <a:avLst/>
              <a:gdLst>
                <a:gd name="connsiteX0" fmla="*/ 78582 w 788194"/>
                <a:gd name="connsiteY0" fmla="*/ 0 h 292894"/>
                <a:gd name="connsiteX1" fmla="*/ 633413 w 788194"/>
                <a:gd name="connsiteY1" fmla="*/ 4763 h 292894"/>
                <a:gd name="connsiteX2" fmla="*/ 757238 w 788194"/>
                <a:gd name="connsiteY2" fmla="*/ 138113 h 292894"/>
                <a:gd name="connsiteX3" fmla="*/ 754857 w 788194"/>
                <a:gd name="connsiteY3" fmla="*/ 245269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8194"/>
                <a:gd name="connsiteY0" fmla="*/ 0 h 292894"/>
                <a:gd name="connsiteX1" fmla="*/ 633413 w 788194"/>
                <a:gd name="connsiteY1" fmla="*/ 4763 h 292894"/>
                <a:gd name="connsiteX2" fmla="*/ 757238 w 788194"/>
                <a:gd name="connsiteY2" fmla="*/ 138113 h 292894"/>
                <a:gd name="connsiteX3" fmla="*/ 752476 w 788194"/>
                <a:gd name="connsiteY3" fmla="*/ 209550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5813"/>
                <a:gd name="connsiteY0" fmla="*/ 0 h 292894"/>
                <a:gd name="connsiteX1" fmla="*/ 633413 w 785813"/>
                <a:gd name="connsiteY1" fmla="*/ 4763 h 292894"/>
                <a:gd name="connsiteX2" fmla="*/ 757238 w 785813"/>
                <a:gd name="connsiteY2" fmla="*/ 138113 h 292894"/>
                <a:gd name="connsiteX3" fmla="*/ 752476 w 785813"/>
                <a:gd name="connsiteY3" fmla="*/ 209550 h 292894"/>
                <a:gd name="connsiteX4" fmla="*/ 785813 w 785813"/>
                <a:gd name="connsiteY4" fmla="*/ 219075 h 292894"/>
                <a:gd name="connsiteX5" fmla="*/ 785813 w 785813"/>
                <a:gd name="connsiteY5" fmla="*/ 292894 h 292894"/>
                <a:gd name="connsiteX6" fmla="*/ 0 w 785813"/>
                <a:gd name="connsiteY6" fmla="*/ 292894 h 292894"/>
                <a:gd name="connsiteX7" fmla="*/ 0 w 785813"/>
                <a:gd name="connsiteY7" fmla="*/ 252413 h 292894"/>
                <a:gd name="connsiteX8" fmla="*/ 26194 w 785813"/>
                <a:gd name="connsiteY8" fmla="*/ 250031 h 292894"/>
                <a:gd name="connsiteX9" fmla="*/ 21432 w 785813"/>
                <a:gd name="connsiteY9" fmla="*/ 130969 h 292894"/>
                <a:gd name="connsiteX10" fmla="*/ 78582 w 785813"/>
                <a:gd name="connsiteY10"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38113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11907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11907 w 785813"/>
                <a:gd name="connsiteY11" fmla="*/ 0 h 292894"/>
                <a:gd name="connsiteX0" fmla="*/ 19051 w 785813"/>
                <a:gd name="connsiteY0" fmla="*/ 0 h 364332"/>
                <a:gd name="connsiteX1" fmla="*/ 633413 w 785813"/>
                <a:gd name="connsiteY1" fmla="*/ 76201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628650 w 785813"/>
                <a:gd name="connsiteY1" fmla="*/ 2383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785813" h="364332">
                  <a:moveTo>
                    <a:pt x="19051" y="0"/>
                  </a:moveTo>
                  <a:lnTo>
                    <a:pt x="628650" y="2383"/>
                  </a:lnTo>
                  <a:cubicBezTo>
                    <a:pt x="654050" y="28577"/>
                    <a:pt x="660401" y="176213"/>
                    <a:pt x="685801" y="202407"/>
                  </a:cubicBezTo>
                  <a:lnTo>
                    <a:pt x="757238" y="219076"/>
                  </a:lnTo>
                  <a:cubicBezTo>
                    <a:pt x="756444" y="254795"/>
                    <a:pt x="762795" y="245269"/>
                    <a:pt x="762001" y="280988"/>
                  </a:cubicBezTo>
                  <a:lnTo>
                    <a:pt x="785813" y="290513"/>
                  </a:lnTo>
                  <a:lnTo>
                    <a:pt x="785813" y="364332"/>
                  </a:lnTo>
                  <a:lnTo>
                    <a:pt x="0" y="364332"/>
                  </a:lnTo>
                  <a:lnTo>
                    <a:pt x="0" y="323851"/>
                  </a:lnTo>
                  <a:lnTo>
                    <a:pt x="26194" y="321469"/>
                  </a:lnTo>
                  <a:lnTo>
                    <a:pt x="21432" y="202407"/>
                  </a:lnTo>
                  <a:cubicBezTo>
                    <a:pt x="20638" y="134938"/>
                    <a:pt x="19845" y="67469"/>
                    <a:pt x="19051" y="0"/>
                  </a:cubicBez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9" name="Freeform 98"/>
            <xdr:cNvSpPr/>
          </xdr:nvSpPr>
          <xdr:spPr>
            <a:xfrm>
              <a:off x="5232440" y="2948516"/>
              <a:ext cx="100241" cy="126207"/>
            </a:xfrm>
            <a:custGeom>
              <a:avLst/>
              <a:gdLst>
                <a:gd name="connsiteX0" fmla="*/ 64294 w 147638"/>
                <a:gd name="connsiteY0" fmla="*/ 0 h 102393"/>
                <a:gd name="connsiteX1" fmla="*/ 147638 w 147638"/>
                <a:gd name="connsiteY1" fmla="*/ 102393 h 102393"/>
                <a:gd name="connsiteX2" fmla="*/ 0 w 147638"/>
                <a:gd name="connsiteY2" fmla="*/ 97631 h 102393"/>
                <a:gd name="connsiteX3" fmla="*/ 0 w 147638"/>
                <a:gd name="connsiteY3" fmla="*/ 2381 h 102393"/>
                <a:gd name="connsiteX4" fmla="*/ 64294 w 147638"/>
                <a:gd name="connsiteY4" fmla="*/ 0 h 102393"/>
                <a:gd name="connsiteX0" fmla="*/ 64294 w 147638"/>
                <a:gd name="connsiteY0" fmla="*/ 0 h 104775"/>
                <a:gd name="connsiteX1" fmla="*/ 147638 w 147638"/>
                <a:gd name="connsiteY1" fmla="*/ 102393 h 104775"/>
                <a:gd name="connsiteX2" fmla="*/ 2382 w 147638"/>
                <a:gd name="connsiteY2" fmla="*/ 104775 h 104775"/>
                <a:gd name="connsiteX3" fmla="*/ 0 w 147638"/>
                <a:gd name="connsiteY3" fmla="*/ 2381 h 104775"/>
                <a:gd name="connsiteX4" fmla="*/ 64294 w 147638"/>
                <a:gd name="connsiteY4" fmla="*/ 0 h 104775"/>
                <a:gd name="connsiteX0" fmla="*/ 64294 w 157163"/>
                <a:gd name="connsiteY0" fmla="*/ 0 h 104775"/>
                <a:gd name="connsiteX1" fmla="*/ 157163 w 157163"/>
                <a:gd name="connsiteY1" fmla="*/ 102393 h 104775"/>
                <a:gd name="connsiteX2" fmla="*/ 2382 w 157163"/>
                <a:gd name="connsiteY2" fmla="*/ 104775 h 104775"/>
                <a:gd name="connsiteX3" fmla="*/ 0 w 157163"/>
                <a:gd name="connsiteY3" fmla="*/ 2381 h 104775"/>
                <a:gd name="connsiteX4" fmla="*/ 64294 w 157163"/>
                <a:gd name="connsiteY4" fmla="*/ 0 h 104775"/>
                <a:gd name="connsiteX0" fmla="*/ 66674 w 159543"/>
                <a:gd name="connsiteY0" fmla="*/ 0 h 102393"/>
                <a:gd name="connsiteX1" fmla="*/ 159543 w 159543"/>
                <a:gd name="connsiteY1" fmla="*/ 102393 h 102393"/>
                <a:gd name="connsiteX2" fmla="*/ 0 w 159543"/>
                <a:gd name="connsiteY2" fmla="*/ 80962 h 102393"/>
                <a:gd name="connsiteX3" fmla="*/ 2380 w 159543"/>
                <a:gd name="connsiteY3" fmla="*/ 2381 h 102393"/>
                <a:gd name="connsiteX4" fmla="*/ 66674 w 159543"/>
                <a:gd name="connsiteY4" fmla="*/ 0 h 102393"/>
                <a:gd name="connsiteX0" fmla="*/ 66674 w 142874"/>
                <a:gd name="connsiteY0" fmla="*/ 0 h 88105"/>
                <a:gd name="connsiteX1" fmla="*/ 142874 w 142874"/>
                <a:gd name="connsiteY1" fmla="*/ 88105 h 88105"/>
                <a:gd name="connsiteX2" fmla="*/ 0 w 142874"/>
                <a:gd name="connsiteY2" fmla="*/ 80962 h 88105"/>
                <a:gd name="connsiteX3" fmla="*/ 2380 w 142874"/>
                <a:gd name="connsiteY3" fmla="*/ 2381 h 88105"/>
                <a:gd name="connsiteX4" fmla="*/ 66674 w 142874"/>
                <a:gd name="connsiteY4" fmla="*/ 0 h 88105"/>
                <a:gd name="connsiteX0" fmla="*/ 66674 w 145256"/>
                <a:gd name="connsiteY0" fmla="*/ 0 h 80962"/>
                <a:gd name="connsiteX1" fmla="*/ 145256 w 145256"/>
                <a:gd name="connsiteY1" fmla="*/ 80961 h 80962"/>
                <a:gd name="connsiteX2" fmla="*/ 0 w 145256"/>
                <a:gd name="connsiteY2" fmla="*/ 80962 h 80962"/>
                <a:gd name="connsiteX3" fmla="*/ 2380 w 145256"/>
                <a:gd name="connsiteY3" fmla="*/ 2381 h 80962"/>
                <a:gd name="connsiteX4" fmla="*/ 66674 w 145256"/>
                <a:gd name="connsiteY4" fmla="*/ 0 h 80962"/>
                <a:gd name="connsiteX0" fmla="*/ 66674 w 85725"/>
                <a:gd name="connsiteY0" fmla="*/ 0 h 88105"/>
                <a:gd name="connsiteX1" fmla="*/ 85725 w 85725"/>
                <a:gd name="connsiteY1" fmla="*/ 88105 h 88105"/>
                <a:gd name="connsiteX2" fmla="*/ 0 w 85725"/>
                <a:gd name="connsiteY2" fmla="*/ 80962 h 88105"/>
                <a:gd name="connsiteX3" fmla="*/ 2380 w 85725"/>
                <a:gd name="connsiteY3" fmla="*/ 2381 h 88105"/>
                <a:gd name="connsiteX4" fmla="*/ 66674 w 85725"/>
                <a:gd name="connsiteY4" fmla="*/ 0 h 88105"/>
                <a:gd name="connsiteX0" fmla="*/ 66674 w 92869"/>
                <a:gd name="connsiteY0" fmla="*/ 0 h 88105"/>
                <a:gd name="connsiteX1" fmla="*/ 92869 w 92869"/>
                <a:gd name="connsiteY1" fmla="*/ 88105 h 88105"/>
                <a:gd name="connsiteX2" fmla="*/ 0 w 92869"/>
                <a:gd name="connsiteY2" fmla="*/ 80962 h 88105"/>
                <a:gd name="connsiteX3" fmla="*/ 2380 w 92869"/>
                <a:gd name="connsiteY3" fmla="*/ 2381 h 88105"/>
                <a:gd name="connsiteX4" fmla="*/ 66674 w 92869"/>
                <a:gd name="connsiteY4" fmla="*/ 0 h 88105"/>
                <a:gd name="connsiteX0" fmla="*/ 66674 w 90487"/>
                <a:gd name="connsiteY0" fmla="*/ 0 h 80962"/>
                <a:gd name="connsiteX1" fmla="*/ 90487 w 90487"/>
                <a:gd name="connsiteY1" fmla="*/ 78580 h 80962"/>
                <a:gd name="connsiteX2" fmla="*/ 0 w 90487"/>
                <a:gd name="connsiteY2" fmla="*/ 80962 h 80962"/>
                <a:gd name="connsiteX3" fmla="*/ 2380 w 90487"/>
                <a:gd name="connsiteY3" fmla="*/ 2381 h 80962"/>
                <a:gd name="connsiteX4" fmla="*/ 66674 w 90487"/>
                <a:gd name="connsiteY4" fmla="*/ 0 h 80962"/>
                <a:gd name="connsiteX0" fmla="*/ 66904 w 90717"/>
                <a:gd name="connsiteY0" fmla="*/ 0 h 80962"/>
                <a:gd name="connsiteX1" fmla="*/ 90717 w 90717"/>
                <a:gd name="connsiteY1" fmla="*/ 78580 h 80962"/>
                <a:gd name="connsiteX2" fmla="*/ 230 w 90717"/>
                <a:gd name="connsiteY2" fmla="*/ 80962 h 80962"/>
                <a:gd name="connsiteX3" fmla="*/ 228 w 90717"/>
                <a:gd name="connsiteY3" fmla="*/ 0 h 80962"/>
                <a:gd name="connsiteX4" fmla="*/ 66904 w 90717"/>
                <a:gd name="connsiteY4" fmla="*/ 0 h 80962"/>
                <a:gd name="connsiteX0" fmla="*/ 66904 w 109767"/>
                <a:gd name="connsiteY0" fmla="*/ 0 h 126205"/>
                <a:gd name="connsiteX1" fmla="*/ 109767 w 109767"/>
                <a:gd name="connsiteY1" fmla="*/ 126205 h 126205"/>
                <a:gd name="connsiteX2" fmla="*/ 230 w 109767"/>
                <a:gd name="connsiteY2" fmla="*/ 80962 h 126205"/>
                <a:gd name="connsiteX3" fmla="*/ 228 w 109767"/>
                <a:gd name="connsiteY3" fmla="*/ 0 h 126205"/>
                <a:gd name="connsiteX4" fmla="*/ 66904 w 109767"/>
                <a:gd name="connsiteY4" fmla="*/ 0 h 126205"/>
                <a:gd name="connsiteX0" fmla="*/ 66904 w 109767"/>
                <a:gd name="connsiteY0" fmla="*/ 0 h 126205"/>
                <a:gd name="connsiteX1" fmla="*/ 109767 w 109767"/>
                <a:gd name="connsiteY1" fmla="*/ 126205 h 126205"/>
                <a:gd name="connsiteX2" fmla="*/ 230 w 109767"/>
                <a:gd name="connsiteY2" fmla="*/ 116681 h 126205"/>
                <a:gd name="connsiteX3" fmla="*/ 228 w 109767"/>
                <a:gd name="connsiteY3" fmla="*/ 0 h 126205"/>
                <a:gd name="connsiteX4" fmla="*/ 66904 w 109767"/>
                <a:gd name="connsiteY4" fmla="*/ 0 h 126205"/>
                <a:gd name="connsiteX0" fmla="*/ 66904 w 109767"/>
                <a:gd name="connsiteY0" fmla="*/ 0 h 133350"/>
                <a:gd name="connsiteX1" fmla="*/ 109767 w 109767"/>
                <a:gd name="connsiteY1" fmla="*/ 126205 h 133350"/>
                <a:gd name="connsiteX2" fmla="*/ 230 w 109767"/>
                <a:gd name="connsiteY2" fmla="*/ 133350 h 133350"/>
                <a:gd name="connsiteX3" fmla="*/ 228 w 109767"/>
                <a:gd name="connsiteY3" fmla="*/ 0 h 133350"/>
                <a:gd name="connsiteX4" fmla="*/ 66904 w 109767"/>
                <a:gd name="connsiteY4" fmla="*/ 0 h 133350"/>
                <a:gd name="connsiteX0" fmla="*/ 66904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66904 w 109767"/>
                <a:gd name="connsiteY4" fmla="*/ 0 h 126206"/>
                <a:gd name="connsiteX0" fmla="*/ 74047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74047 w 109767"/>
                <a:gd name="connsiteY4" fmla="*/ 0 h 126206"/>
                <a:gd name="connsiteX0" fmla="*/ 74047 w 100242"/>
                <a:gd name="connsiteY0" fmla="*/ 0 h 126206"/>
                <a:gd name="connsiteX1" fmla="*/ 100242 w 100242"/>
                <a:gd name="connsiteY1" fmla="*/ 126205 h 126206"/>
                <a:gd name="connsiteX2" fmla="*/ 230 w 100242"/>
                <a:gd name="connsiteY2" fmla="*/ 126206 h 126206"/>
                <a:gd name="connsiteX3" fmla="*/ 228 w 100242"/>
                <a:gd name="connsiteY3" fmla="*/ 0 h 126206"/>
                <a:gd name="connsiteX4" fmla="*/ 74047 w 100242"/>
                <a:gd name="connsiteY4" fmla="*/ 0 h 1262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242" h="126206">
                  <a:moveTo>
                    <a:pt x="74047" y="0"/>
                  </a:moveTo>
                  <a:lnTo>
                    <a:pt x="100242" y="126205"/>
                  </a:lnTo>
                  <a:lnTo>
                    <a:pt x="230" y="126206"/>
                  </a:lnTo>
                  <a:cubicBezTo>
                    <a:pt x="1023" y="100012"/>
                    <a:pt x="-565" y="26194"/>
                    <a:pt x="228" y="0"/>
                  </a:cubicBezTo>
                  <a:lnTo>
                    <a:pt x="74047" y="0"/>
                  </a:lnTo>
                  <a:close/>
                </a:path>
              </a:pathLst>
            </a:cu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56" name="Group 55"/>
          <xdr:cNvGrpSpPr>
            <a:grpSpLocks noChangeAspect="1"/>
          </xdr:cNvGrpSpPr>
        </xdr:nvGrpSpPr>
        <xdr:grpSpPr>
          <a:xfrm>
            <a:off x="3745124" y="2266950"/>
            <a:ext cx="947232" cy="325041"/>
            <a:chOff x="2383631" y="5334000"/>
            <a:chExt cx="1290638" cy="433388"/>
          </a:xfrm>
        </xdr:grpSpPr>
        <xdr:grpSp>
          <xdr:nvGrpSpPr>
            <xdr:cNvPr id="85" name="Group 84"/>
            <xdr:cNvGrpSpPr/>
          </xdr:nvGrpSpPr>
          <xdr:grpSpPr>
            <a:xfrm>
              <a:off x="2383631" y="5334000"/>
              <a:ext cx="1290638" cy="433388"/>
              <a:chOff x="4714874" y="2919412"/>
              <a:chExt cx="1290638" cy="433388"/>
            </a:xfrm>
          </xdr:grpSpPr>
          <xdr:sp macro="" textlink="">
            <xdr:nvSpPr>
              <xdr:cNvPr id="92" name="Oval 91"/>
              <xdr:cNvSpPr/>
            </xdr:nvSpPr>
            <xdr:spPr>
              <a:xfrm>
                <a:off x="4998243" y="3200400"/>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3" name="Oval 92"/>
              <xdr:cNvSpPr/>
            </xdr:nvSpPr>
            <xdr:spPr>
              <a:xfrm>
                <a:off x="5531643" y="3200400"/>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4" name="Freeform 93"/>
              <xdr:cNvSpPr/>
            </xdr:nvSpPr>
            <xdr:spPr>
              <a:xfrm>
                <a:off x="4714874" y="2919412"/>
                <a:ext cx="1290638" cy="364332"/>
              </a:xfrm>
              <a:custGeom>
                <a:avLst/>
                <a:gdLst>
                  <a:gd name="connsiteX0" fmla="*/ 78582 w 788194"/>
                  <a:gd name="connsiteY0" fmla="*/ 0 h 292894"/>
                  <a:gd name="connsiteX1" fmla="*/ 633413 w 788194"/>
                  <a:gd name="connsiteY1" fmla="*/ 4763 h 292894"/>
                  <a:gd name="connsiteX2" fmla="*/ 757238 w 788194"/>
                  <a:gd name="connsiteY2" fmla="*/ 138113 h 292894"/>
                  <a:gd name="connsiteX3" fmla="*/ 754857 w 788194"/>
                  <a:gd name="connsiteY3" fmla="*/ 245269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8194"/>
                  <a:gd name="connsiteY0" fmla="*/ 0 h 292894"/>
                  <a:gd name="connsiteX1" fmla="*/ 633413 w 788194"/>
                  <a:gd name="connsiteY1" fmla="*/ 4763 h 292894"/>
                  <a:gd name="connsiteX2" fmla="*/ 757238 w 788194"/>
                  <a:gd name="connsiteY2" fmla="*/ 138113 h 292894"/>
                  <a:gd name="connsiteX3" fmla="*/ 752476 w 788194"/>
                  <a:gd name="connsiteY3" fmla="*/ 209550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5813"/>
                  <a:gd name="connsiteY0" fmla="*/ 0 h 292894"/>
                  <a:gd name="connsiteX1" fmla="*/ 633413 w 785813"/>
                  <a:gd name="connsiteY1" fmla="*/ 4763 h 292894"/>
                  <a:gd name="connsiteX2" fmla="*/ 757238 w 785813"/>
                  <a:gd name="connsiteY2" fmla="*/ 138113 h 292894"/>
                  <a:gd name="connsiteX3" fmla="*/ 752476 w 785813"/>
                  <a:gd name="connsiteY3" fmla="*/ 209550 h 292894"/>
                  <a:gd name="connsiteX4" fmla="*/ 785813 w 785813"/>
                  <a:gd name="connsiteY4" fmla="*/ 219075 h 292894"/>
                  <a:gd name="connsiteX5" fmla="*/ 785813 w 785813"/>
                  <a:gd name="connsiteY5" fmla="*/ 292894 h 292894"/>
                  <a:gd name="connsiteX6" fmla="*/ 0 w 785813"/>
                  <a:gd name="connsiteY6" fmla="*/ 292894 h 292894"/>
                  <a:gd name="connsiteX7" fmla="*/ 0 w 785813"/>
                  <a:gd name="connsiteY7" fmla="*/ 252413 h 292894"/>
                  <a:gd name="connsiteX8" fmla="*/ 26194 w 785813"/>
                  <a:gd name="connsiteY8" fmla="*/ 250031 h 292894"/>
                  <a:gd name="connsiteX9" fmla="*/ 21432 w 785813"/>
                  <a:gd name="connsiteY9" fmla="*/ 130969 h 292894"/>
                  <a:gd name="connsiteX10" fmla="*/ 78582 w 785813"/>
                  <a:gd name="connsiteY10"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38113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11907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11907 w 785813"/>
                  <a:gd name="connsiteY11" fmla="*/ 0 h 292894"/>
                  <a:gd name="connsiteX0" fmla="*/ 19051 w 785813"/>
                  <a:gd name="connsiteY0" fmla="*/ 0 h 364332"/>
                  <a:gd name="connsiteX1" fmla="*/ 633413 w 785813"/>
                  <a:gd name="connsiteY1" fmla="*/ 76201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628650 w 785813"/>
                  <a:gd name="connsiteY1" fmla="*/ 2383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7348"/>
                  <a:gd name="connsiteY0" fmla="*/ 0 h 364332"/>
                  <a:gd name="connsiteX1" fmla="*/ 628650 w 787348"/>
                  <a:gd name="connsiteY1" fmla="*/ 2383 h 364332"/>
                  <a:gd name="connsiteX2" fmla="*/ 685801 w 787348"/>
                  <a:gd name="connsiteY2" fmla="*/ 202407 h 364332"/>
                  <a:gd name="connsiteX3" fmla="*/ 757238 w 787348"/>
                  <a:gd name="connsiteY3" fmla="*/ 219076 h 364332"/>
                  <a:gd name="connsiteX4" fmla="*/ 762001 w 787348"/>
                  <a:gd name="connsiteY4" fmla="*/ 280988 h 364332"/>
                  <a:gd name="connsiteX5" fmla="*/ 787348 w 787348"/>
                  <a:gd name="connsiteY5" fmla="*/ 309563 h 364332"/>
                  <a:gd name="connsiteX6" fmla="*/ 785813 w 787348"/>
                  <a:gd name="connsiteY6" fmla="*/ 364332 h 364332"/>
                  <a:gd name="connsiteX7" fmla="*/ 0 w 787348"/>
                  <a:gd name="connsiteY7" fmla="*/ 364332 h 364332"/>
                  <a:gd name="connsiteX8" fmla="*/ 0 w 787348"/>
                  <a:gd name="connsiteY8" fmla="*/ 323851 h 364332"/>
                  <a:gd name="connsiteX9" fmla="*/ 26194 w 787348"/>
                  <a:gd name="connsiteY9" fmla="*/ 321469 h 364332"/>
                  <a:gd name="connsiteX10" fmla="*/ 21432 w 787348"/>
                  <a:gd name="connsiteY10" fmla="*/ 202407 h 364332"/>
                  <a:gd name="connsiteX11" fmla="*/ 19051 w 787348"/>
                  <a:gd name="connsiteY11" fmla="*/ 0 h 364332"/>
                  <a:gd name="connsiteX0" fmla="*/ 19051 w 787348"/>
                  <a:gd name="connsiteY0" fmla="*/ 0 h 364332"/>
                  <a:gd name="connsiteX1" fmla="*/ 628650 w 787348"/>
                  <a:gd name="connsiteY1" fmla="*/ 2383 h 364332"/>
                  <a:gd name="connsiteX2" fmla="*/ 685801 w 787348"/>
                  <a:gd name="connsiteY2" fmla="*/ 202407 h 364332"/>
                  <a:gd name="connsiteX3" fmla="*/ 757238 w 787348"/>
                  <a:gd name="connsiteY3" fmla="*/ 219076 h 364332"/>
                  <a:gd name="connsiteX4" fmla="*/ 777349 w 787348"/>
                  <a:gd name="connsiteY4" fmla="*/ 290513 h 364332"/>
                  <a:gd name="connsiteX5" fmla="*/ 787348 w 787348"/>
                  <a:gd name="connsiteY5" fmla="*/ 309563 h 364332"/>
                  <a:gd name="connsiteX6" fmla="*/ 785813 w 787348"/>
                  <a:gd name="connsiteY6" fmla="*/ 364332 h 364332"/>
                  <a:gd name="connsiteX7" fmla="*/ 0 w 787348"/>
                  <a:gd name="connsiteY7" fmla="*/ 364332 h 364332"/>
                  <a:gd name="connsiteX8" fmla="*/ 0 w 787348"/>
                  <a:gd name="connsiteY8" fmla="*/ 323851 h 364332"/>
                  <a:gd name="connsiteX9" fmla="*/ 26194 w 787348"/>
                  <a:gd name="connsiteY9" fmla="*/ 321469 h 364332"/>
                  <a:gd name="connsiteX10" fmla="*/ 21432 w 787348"/>
                  <a:gd name="connsiteY10" fmla="*/ 202407 h 364332"/>
                  <a:gd name="connsiteX11" fmla="*/ 19051 w 787348"/>
                  <a:gd name="connsiteY11" fmla="*/ 0 h 364332"/>
                  <a:gd name="connsiteX0" fmla="*/ 19051 w 787348"/>
                  <a:gd name="connsiteY0" fmla="*/ 0 h 364332"/>
                  <a:gd name="connsiteX1" fmla="*/ 628650 w 787348"/>
                  <a:gd name="connsiteY1" fmla="*/ 2383 h 364332"/>
                  <a:gd name="connsiteX2" fmla="*/ 685801 w 787348"/>
                  <a:gd name="connsiteY2" fmla="*/ 202407 h 364332"/>
                  <a:gd name="connsiteX3" fmla="*/ 757238 w 787348"/>
                  <a:gd name="connsiteY3" fmla="*/ 219076 h 364332"/>
                  <a:gd name="connsiteX4" fmla="*/ 768140 w 787348"/>
                  <a:gd name="connsiteY4" fmla="*/ 292895 h 364332"/>
                  <a:gd name="connsiteX5" fmla="*/ 787348 w 787348"/>
                  <a:gd name="connsiteY5" fmla="*/ 309563 h 364332"/>
                  <a:gd name="connsiteX6" fmla="*/ 785813 w 787348"/>
                  <a:gd name="connsiteY6" fmla="*/ 364332 h 364332"/>
                  <a:gd name="connsiteX7" fmla="*/ 0 w 787348"/>
                  <a:gd name="connsiteY7" fmla="*/ 364332 h 364332"/>
                  <a:gd name="connsiteX8" fmla="*/ 0 w 787348"/>
                  <a:gd name="connsiteY8" fmla="*/ 323851 h 364332"/>
                  <a:gd name="connsiteX9" fmla="*/ 26194 w 787348"/>
                  <a:gd name="connsiteY9" fmla="*/ 321469 h 364332"/>
                  <a:gd name="connsiteX10" fmla="*/ 21432 w 787348"/>
                  <a:gd name="connsiteY10" fmla="*/ 202407 h 364332"/>
                  <a:gd name="connsiteX11" fmla="*/ 19051 w 787348"/>
                  <a:gd name="connsiteY11" fmla="*/ 0 h 364332"/>
                  <a:gd name="connsiteX0" fmla="*/ 19051 w 787348"/>
                  <a:gd name="connsiteY0" fmla="*/ 0 h 364332"/>
                  <a:gd name="connsiteX1" fmla="*/ 628650 w 787348"/>
                  <a:gd name="connsiteY1" fmla="*/ 2383 h 364332"/>
                  <a:gd name="connsiteX2" fmla="*/ 685801 w 787348"/>
                  <a:gd name="connsiteY2" fmla="*/ 202407 h 364332"/>
                  <a:gd name="connsiteX3" fmla="*/ 766447 w 787348"/>
                  <a:gd name="connsiteY3" fmla="*/ 185738 h 364332"/>
                  <a:gd name="connsiteX4" fmla="*/ 768140 w 787348"/>
                  <a:gd name="connsiteY4" fmla="*/ 292895 h 364332"/>
                  <a:gd name="connsiteX5" fmla="*/ 787348 w 787348"/>
                  <a:gd name="connsiteY5" fmla="*/ 309563 h 364332"/>
                  <a:gd name="connsiteX6" fmla="*/ 785813 w 787348"/>
                  <a:gd name="connsiteY6" fmla="*/ 364332 h 364332"/>
                  <a:gd name="connsiteX7" fmla="*/ 0 w 787348"/>
                  <a:gd name="connsiteY7" fmla="*/ 364332 h 364332"/>
                  <a:gd name="connsiteX8" fmla="*/ 0 w 787348"/>
                  <a:gd name="connsiteY8" fmla="*/ 323851 h 364332"/>
                  <a:gd name="connsiteX9" fmla="*/ 26194 w 787348"/>
                  <a:gd name="connsiteY9" fmla="*/ 321469 h 364332"/>
                  <a:gd name="connsiteX10" fmla="*/ 21432 w 787348"/>
                  <a:gd name="connsiteY10" fmla="*/ 202407 h 364332"/>
                  <a:gd name="connsiteX11" fmla="*/ 19051 w 787348"/>
                  <a:gd name="connsiteY11" fmla="*/ 0 h 364332"/>
                  <a:gd name="connsiteX0" fmla="*/ 19051 w 787348"/>
                  <a:gd name="connsiteY0" fmla="*/ 0 h 364332"/>
                  <a:gd name="connsiteX1" fmla="*/ 716134 w 787348"/>
                  <a:gd name="connsiteY1" fmla="*/ 4764 h 364332"/>
                  <a:gd name="connsiteX2" fmla="*/ 685801 w 787348"/>
                  <a:gd name="connsiteY2" fmla="*/ 202407 h 364332"/>
                  <a:gd name="connsiteX3" fmla="*/ 766447 w 787348"/>
                  <a:gd name="connsiteY3" fmla="*/ 185738 h 364332"/>
                  <a:gd name="connsiteX4" fmla="*/ 768140 w 787348"/>
                  <a:gd name="connsiteY4" fmla="*/ 292895 h 364332"/>
                  <a:gd name="connsiteX5" fmla="*/ 787348 w 787348"/>
                  <a:gd name="connsiteY5" fmla="*/ 309563 h 364332"/>
                  <a:gd name="connsiteX6" fmla="*/ 785813 w 787348"/>
                  <a:gd name="connsiteY6" fmla="*/ 364332 h 364332"/>
                  <a:gd name="connsiteX7" fmla="*/ 0 w 787348"/>
                  <a:gd name="connsiteY7" fmla="*/ 364332 h 364332"/>
                  <a:gd name="connsiteX8" fmla="*/ 0 w 787348"/>
                  <a:gd name="connsiteY8" fmla="*/ 323851 h 364332"/>
                  <a:gd name="connsiteX9" fmla="*/ 26194 w 787348"/>
                  <a:gd name="connsiteY9" fmla="*/ 321469 h 364332"/>
                  <a:gd name="connsiteX10" fmla="*/ 21432 w 787348"/>
                  <a:gd name="connsiteY10" fmla="*/ 202407 h 364332"/>
                  <a:gd name="connsiteX11" fmla="*/ 19051 w 787348"/>
                  <a:gd name="connsiteY11" fmla="*/ 0 h 364332"/>
                  <a:gd name="connsiteX0" fmla="*/ 19051 w 787348"/>
                  <a:gd name="connsiteY0" fmla="*/ 0 h 364332"/>
                  <a:gd name="connsiteX1" fmla="*/ 716134 w 787348"/>
                  <a:gd name="connsiteY1" fmla="*/ 4764 h 364332"/>
                  <a:gd name="connsiteX2" fmla="*/ 766447 w 787348"/>
                  <a:gd name="connsiteY2" fmla="*/ 185738 h 364332"/>
                  <a:gd name="connsiteX3" fmla="*/ 768140 w 787348"/>
                  <a:gd name="connsiteY3" fmla="*/ 292895 h 364332"/>
                  <a:gd name="connsiteX4" fmla="*/ 787348 w 787348"/>
                  <a:gd name="connsiteY4" fmla="*/ 309563 h 364332"/>
                  <a:gd name="connsiteX5" fmla="*/ 785813 w 787348"/>
                  <a:gd name="connsiteY5" fmla="*/ 364332 h 364332"/>
                  <a:gd name="connsiteX6" fmla="*/ 0 w 787348"/>
                  <a:gd name="connsiteY6" fmla="*/ 364332 h 364332"/>
                  <a:gd name="connsiteX7" fmla="*/ 0 w 787348"/>
                  <a:gd name="connsiteY7" fmla="*/ 323851 h 364332"/>
                  <a:gd name="connsiteX8" fmla="*/ 26194 w 787348"/>
                  <a:gd name="connsiteY8" fmla="*/ 321469 h 364332"/>
                  <a:gd name="connsiteX9" fmla="*/ 21432 w 787348"/>
                  <a:gd name="connsiteY9" fmla="*/ 202407 h 364332"/>
                  <a:gd name="connsiteX10" fmla="*/ 19051 w 787348"/>
                  <a:gd name="connsiteY10" fmla="*/ 0 h 364332"/>
                  <a:gd name="connsiteX0" fmla="*/ 19051 w 787348"/>
                  <a:gd name="connsiteY0" fmla="*/ 0 h 364332"/>
                  <a:gd name="connsiteX1" fmla="*/ 645534 w 787348"/>
                  <a:gd name="connsiteY1" fmla="*/ 7145 h 364332"/>
                  <a:gd name="connsiteX2" fmla="*/ 766447 w 787348"/>
                  <a:gd name="connsiteY2" fmla="*/ 185738 h 364332"/>
                  <a:gd name="connsiteX3" fmla="*/ 768140 w 787348"/>
                  <a:gd name="connsiteY3" fmla="*/ 292895 h 364332"/>
                  <a:gd name="connsiteX4" fmla="*/ 787348 w 787348"/>
                  <a:gd name="connsiteY4" fmla="*/ 309563 h 364332"/>
                  <a:gd name="connsiteX5" fmla="*/ 785813 w 787348"/>
                  <a:gd name="connsiteY5" fmla="*/ 364332 h 364332"/>
                  <a:gd name="connsiteX6" fmla="*/ 0 w 787348"/>
                  <a:gd name="connsiteY6" fmla="*/ 364332 h 364332"/>
                  <a:gd name="connsiteX7" fmla="*/ 0 w 787348"/>
                  <a:gd name="connsiteY7" fmla="*/ 323851 h 364332"/>
                  <a:gd name="connsiteX8" fmla="*/ 26194 w 787348"/>
                  <a:gd name="connsiteY8" fmla="*/ 321469 h 364332"/>
                  <a:gd name="connsiteX9" fmla="*/ 21432 w 787348"/>
                  <a:gd name="connsiteY9" fmla="*/ 202407 h 364332"/>
                  <a:gd name="connsiteX10" fmla="*/ 19051 w 787348"/>
                  <a:gd name="connsiteY10" fmla="*/ 0 h 364332"/>
                  <a:gd name="connsiteX0" fmla="*/ 19051 w 787348"/>
                  <a:gd name="connsiteY0" fmla="*/ 0 h 364332"/>
                  <a:gd name="connsiteX1" fmla="*/ 645534 w 787348"/>
                  <a:gd name="connsiteY1" fmla="*/ 7145 h 364332"/>
                  <a:gd name="connsiteX2" fmla="*/ 766447 w 787348"/>
                  <a:gd name="connsiteY2" fmla="*/ 185738 h 364332"/>
                  <a:gd name="connsiteX3" fmla="*/ 768140 w 787348"/>
                  <a:gd name="connsiteY3" fmla="*/ 292895 h 364332"/>
                  <a:gd name="connsiteX4" fmla="*/ 787348 w 787348"/>
                  <a:gd name="connsiteY4" fmla="*/ 309563 h 364332"/>
                  <a:gd name="connsiteX5" fmla="*/ 785813 w 787348"/>
                  <a:gd name="connsiteY5" fmla="*/ 364332 h 364332"/>
                  <a:gd name="connsiteX6" fmla="*/ 0 w 787348"/>
                  <a:gd name="connsiteY6" fmla="*/ 364332 h 364332"/>
                  <a:gd name="connsiteX7" fmla="*/ 0 w 787348"/>
                  <a:gd name="connsiteY7" fmla="*/ 323851 h 364332"/>
                  <a:gd name="connsiteX8" fmla="*/ 26194 w 787348"/>
                  <a:gd name="connsiteY8" fmla="*/ 321469 h 364332"/>
                  <a:gd name="connsiteX9" fmla="*/ 21432 w 787348"/>
                  <a:gd name="connsiteY9" fmla="*/ 202407 h 364332"/>
                  <a:gd name="connsiteX10" fmla="*/ 19051 w 787348"/>
                  <a:gd name="connsiteY10" fmla="*/ 0 h 364332"/>
                  <a:gd name="connsiteX0" fmla="*/ 19051 w 787348"/>
                  <a:gd name="connsiteY0" fmla="*/ 0 h 364332"/>
                  <a:gd name="connsiteX1" fmla="*/ 702322 w 787348"/>
                  <a:gd name="connsiteY1" fmla="*/ 2383 h 364332"/>
                  <a:gd name="connsiteX2" fmla="*/ 766447 w 787348"/>
                  <a:gd name="connsiteY2" fmla="*/ 185738 h 364332"/>
                  <a:gd name="connsiteX3" fmla="*/ 768140 w 787348"/>
                  <a:gd name="connsiteY3" fmla="*/ 292895 h 364332"/>
                  <a:gd name="connsiteX4" fmla="*/ 787348 w 787348"/>
                  <a:gd name="connsiteY4" fmla="*/ 309563 h 364332"/>
                  <a:gd name="connsiteX5" fmla="*/ 785813 w 787348"/>
                  <a:gd name="connsiteY5" fmla="*/ 364332 h 364332"/>
                  <a:gd name="connsiteX6" fmla="*/ 0 w 787348"/>
                  <a:gd name="connsiteY6" fmla="*/ 364332 h 364332"/>
                  <a:gd name="connsiteX7" fmla="*/ 0 w 787348"/>
                  <a:gd name="connsiteY7" fmla="*/ 323851 h 364332"/>
                  <a:gd name="connsiteX8" fmla="*/ 26194 w 787348"/>
                  <a:gd name="connsiteY8" fmla="*/ 321469 h 364332"/>
                  <a:gd name="connsiteX9" fmla="*/ 21432 w 787348"/>
                  <a:gd name="connsiteY9" fmla="*/ 202407 h 364332"/>
                  <a:gd name="connsiteX10" fmla="*/ 19051 w 787348"/>
                  <a:gd name="connsiteY10" fmla="*/ 0 h 3643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7348" h="364332">
                    <a:moveTo>
                      <a:pt x="19051" y="0"/>
                    </a:moveTo>
                    <a:lnTo>
                      <a:pt x="702322" y="2383"/>
                    </a:lnTo>
                    <a:cubicBezTo>
                      <a:pt x="760892" y="121445"/>
                      <a:pt x="757779" y="137716"/>
                      <a:pt x="766447" y="185738"/>
                    </a:cubicBezTo>
                    <a:cubicBezTo>
                      <a:pt x="765653" y="221457"/>
                      <a:pt x="768934" y="257176"/>
                      <a:pt x="768140" y="292895"/>
                    </a:cubicBezTo>
                    <a:lnTo>
                      <a:pt x="787348" y="309563"/>
                    </a:lnTo>
                    <a:cubicBezTo>
                      <a:pt x="786836" y="327819"/>
                      <a:pt x="786325" y="346076"/>
                      <a:pt x="785813" y="364332"/>
                    </a:cubicBezTo>
                    <a:lnTo>
                      <a:pt x="0" y="364332"/>
                    </a:lnTo>
                    <a:lnTo>
                      <a:pt x="0" y="323851"/>
                    </a:lnTo>
                    <a:lnTo>
                      <a:pt x="26194" y="321469"/>
                    </a:lnTo>
                    <a:lnTo>
                      <a:pt x="21432" y="202407"/>
                    </a:lnTo>
                    <a:cubicBezTo>
                      <a:pt x="20638" y="134938"/>
                      <a:pt x="19845" y="67469"/>
                      <a:pt x="19051" y="0"/>
                    </a:cubicBez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5" name="Freeform 94"/>
              <xdr:cNvSpPr/>
            </xdr:nvSpPr>
            <xdr:spPr>
              <a:xfrm>
                <a:off x="5879534" y="2945609"/>
                <a:ext cx="83345" cy="164306"/>
              </a:xfrm>
              <a:custGeom>
                <a:avLst/>
                <a:gdLst>
                  <a:gd name="connsiteX0" fmla="*/ 64294 w 147638"/>
                  <a:gd name="connsiteY0" fmla="*/ 0 h 102393"/>
                  <a:gd name="connsiteX1" fmla="*/ 147638 w 147638"/>
                  <a:gd name="connsiteY1" fmla="*/ 102393 h 102393"/>
                  <a:gd name="connsiteX2" fmla="*/ 0 w 147638"/>
                  <a:gd name="connsiteY2" fmla="*/ 97631 h 102393"/>
                  <a:gd name="connsiteX3" fmla="*/ 0 w 147638"/>
                  <a:gd name="connsiteY3" fmla="*/ 2381 h 102393"/>
                  <a:gd name="connsiteX4" fmla="*/ 64294 w 147638"/>
                  <a:gd name="connsiteY4" fmla="*/ 0 h 102393"/>
                  <a:gd name="connsiteX0" fmla="*/ 64294 w 147638"/>
                  <a:gd name="connsiteY0" fmla="*/ 0 h 104775"/>
                  <a:gd name="connsiteX1" fmla="*/ 147638 w 147638"/>
                  <a:gd name="connsiteY1" fmla="*/ 102393 h 104775"/>
                  <a:gd name="connsiteX2" fmla="*/ 2382 w 147638"/>
                  <a:gd name="connsiteY2" fmla="*/ 104775 h 104775"/>
                  <a:gd name="connsiteX3" fmla="*/ 0 w 147638"/>
                  <a:gd name="connsiteY3" fmla="*/ 2381 h 104775"/>
                  <a:gd name="connsiteX4" fmla="*/ 64294 w 147638"/>
                  <a:gd name="connsiteY4" fmla="*/ 0 h 104775"/>
                  <a:gd name="connsiteX0" fmla="*/ 64294 w 157163"/>
                  <a:gd name="connsiteY0" fmla="*/ 0 h 104775"/>
                  <a:gd name="connsiteX1" fmla="*/ 157163 w 157163"/>
                  <a:gd name="connsiteY1" fmla="*/ 102393 h 104775"/>
                  <a:gd name="connsiteX2" fmla="*/ 2382 w 157163"/>
                  <a:gd name="connsiteY2" fmla="*/ 104775 h 104775"/>
                  <a:gd name="connsiteX3" fmla="*/ 0 w 157163"/>
                  <a:gd name="connsiteY3" fmla="*/ 2381 h 104775"/>
                  <a:gd name="connsiteX4" fmla="*/ 64294 w 157163"/>
                  <a:gd name="connsiteY4" fmla="*/ 0 h 104775"/>
                  <a:gd name="connsiteX0" fmla="*/ 66674 w 159543"/>
                  <a:gd name="connsiteY0" fmla="*/ 0 h 102393"/>
                  <a:gd name="connsiteX1" fmla="*/ 159543 w 159543"/>
                  <a:gd name="connsiteY1" fmla="*/ 102393 h 102393"/>
                  <a:gd name="connsiteX2" fmla="*/ 0 w 159543"/>
                  <a:gd name="connsiteY2" fmla="*/ 80962 h 102393"/>
                  <a:gd name="connsiteX3" fmla="*/ 2380 w 159543"/>
                  <a:gd name="connsiteY3" fmla="*/ 2381 h 102393"/>
                  <a:gd name="connsiteX4" fmla="*/ 66674 w 159543"/>
                  <a:gd name="connsiteY4" fmla="*/ 0 h 102393"/>
                  <a:gd name="connsiteX0" fmla="*/ 66674 w 142874"/>
                  <a:gd name="connsiteY0" fmla="*/ 0 h 88105"/>
                  <a:gd name="connsiteX1" fmla="*/ 142874 w 142874"/>
                  <a:gd name="connsiteY1" fmla="*/ 88105 h 88105"/>
                  <a:gd name="connsiteX2" fmla="*/ 0 w 142874"/>
                  <a:gd name="connsiteY2" fmla="*/ 80962 h 88105"/>
                  <a:gd name="connsiteX3" fmla="*/ 2380 w 142874"/>
                  <a:gd name="connsiteY3" fmla="*/ 2381 h 88105"/>
                  <a:gd name="connsiteX4" fmla="*/ 66674 w 142874"/>
                  <a:gd name="connsiteY4" fmla="*/ 0 h 88105"/>
                  <a:gd name="connsiteX0" fmla="*/ 66674 w 145256"/>
                  <a:gd name="connsiteY0" fmla="*/ 0 h 80962"/>
                  <a:gd name="connsiteX1" fmla="*/ 145256 w 145256"/>
                  <a:gd name="connsiteY1" fmla="*/ 80961 h 80962"/>
                  <a:gd name="connsiteX2" fmla="*/ 0 w 145256"/>
                  <a:gd name="connsiteY2" fmla="*/ 80962 h 80962"/>
                  <a:gd name="connsiteX3" fmla="*/ 2380 w 145256"/>
                  <a:gd name="connsiteY3" fmla="*/ 2381 h 80962"/>
                  <a:gd name="connsiteX4" fmla="*/ 66674 w 145256"/>
                  <a:gd name="connsiteY4" fmla="*/ 0 h 80962"/>
                  <a:gd name="connsiteX0" fmla="*/ 66674 w 85725"/>
                  <a:gd name="connsiteY0" fmla="*/ 0 h 88105"/>
                  <a:gd name="connsiteX1" fmla="*/ 85725 w 85725"/>
                  <a:gd name="connsiteY1" fmla="*/ 88105 h 88105"/>
                  <a:gd name="connsiteX2" fmla="*/ 0 w 85725"/>
                  <a:gd name="connsiteY2" fmla="*/ 80962 h 88105"/>
                  <a:gd name="connsiteX3" fmla="*/ 2380 w 85725"/>
                  <a:gd name="connsiteY3" fmla="*/ 2381 h 88105"/>
                  <a:gd name="connsiteX4" fmla="*/ 66674 w 85725"/>
                  <a:gd name="connsiteY4" fmla="*/ 0 h 88105"/>
                  <a:gd name="connsiteX0" fmla="*/ 66674 w 92869"/>
                  <a:gd name="connsiteY0" fmla="*/ 0 h 88105"/>
                  <a:gd name="connsiteX1" fmla="*/ 92869 w 92869"/>
                  <a:gd name="connsiteY1" fmla="*/ 88105 h 88105"/>
                  <a:gd name="connsiteX2" fmla="*/ 0 w 92869"/>
                  <a:gd name="connsiteY2" fmla="*/ 80962 h 88105"/>
                  <a:gd name="connsiteX3" fmla="*/ 2380 w 92869"/>
                  <a:gd name="connsiteY3" fmla="*/ 2381 h 88105"/>
                  <a:gd name="connsiteX4" fmla="*/ 66674 w 92869"/>
                  <a:gd name="connsiteY4" fmla="*/ 0 h 88105"/>
                  <a:gd name="connsiteX0" fmla="*/ 66674 w 90487"/>
                  <a:gd name="connsiteY0" fmla="*/ 0 h 80962"/>
                  <a:gd name="connsiteX1" fmla="*/ 90487 w 90487"/>
                  <a:gd name="connsiteY1" fmla="*/ 78580 h 80962"/>
                  <a:gd name="connsiteX2" fmla="*/ 0 w 90487"/>
                  <a:gd name="connsiteY2" fmla="*/ 80962 h 80962"/>
                  <a:gd name="connsiteX3" fmla="*/ 2380 w 90487"/>
                  <a:gd name="connsiteY3" fmla="*/ 2381 h 80962"/>
                  <a:gd name="connsiteX4" fmla="*/ 66674 w 90487"/>
                  <a:gd name="connsiteY4" fmla="*/ 0 h 80962"/>
                  <a:gd name="connsiteX0" fmla="*/ 66904 w 90717"/>
                  <a:gd name="connsiteY0" fmla="*/ 0 h 80962"/>
                  <a:gd name="connsiteX1" fmla="*/ 90717 w 90717"/>
                  <a:gd name="connsiteY1" fmla="*/ 78580 h 80962"/>
                  <a:gd name="connsiteX2" fmla="*/ 230 w 90717"/>
                  <a:gd name="connsiteY2" fmla="*/ 80962 h 80962"/>
                  <a:gd name="connsiteX3" fmla="*/ 228 w 90717"/>
                  <a:gd name="connsiteY3" fmla="*/ 0 h 80962"/>
                  <a:gd name="connsiteX4" fmla="*/ 66904 w 90717"/>
                  <a:gd name="connsiteY4" fmla="*/ 0 h 80962"/>
                  <a:gd name="connsiteX0" fmla="*/ 66904 w 109767"/>
                  <a:gd name="connsiteY0" fmla="*/ 0 h 126205"/>
                  <a:gd name="connsiteX1" fmla="*/ 109767 w 109767"/>
                  <a:gd name="connsiteY1" fmla="*/ 126205 h 126205"/>
                  <a:gd name="connsiteX2" fmla="*/ 230 w 109767"/>
                  <a:gd name="connsiteY2" fmla="*/ 80962 h 126205"/>
                  <a:gd name="connsiteX3" fmla="*/ 228 w 109767"/>
                  <a:gd name="connsiteY3" fmla="*/ 0 h 126205"/>
                  <a:gd name="connsiteX4" fmla="*/ 66904 w 109767"/>
                  <a:gd name="connsiteY4" fmla="*/ 0 h 126205"/>
                  <a:gd name="connsiteX0" fmla="*/ 66904 w 109767"/>
                  <a:gd name="connsiteY0" fmla="*/ 0 h 126205"/>
                  <a:gd name="connsiteX1" fmla="*/ 109767 w 109767"/>
                  <a:gd name="connsiteY1" fmla="*/ 126205 h 126205"/>
                  <a:gd name="connsiteX2" fmla="*/ 230 w 109767"/>
                  <a:gd name="connsiteY2" fmla="*/ 116681 h 126205"/>
                  <a:gd name="connsiteX3" fmla="*/ 228 w 109767"/>
                  <a:gd name="connsiteY3" fmla="*/ 0 h 126205"/>
                  <a:gd name="connsiteX4" fmla="*/ 66904 w 109767"/>
                  <a:gd name="connsiteY4" fmla="*/ 0 h 126205"/>
                  <a:gd name="connsiteX0" fmla="*/ 66904 w 109767"/>
                  <a:gd name="connsiteY0" fmla="*/ 0 h 133350"/>
                  <a:gd name="connsiteX1" fmla="*/ 109767 w 109767"/>
                  <a:gd name="connsiteY1" fmla="*/ 126205 h 133350"/>
                  <a:gd name="connsiteX2" fmla="*/ 230 w 109767"/>
                  <a:gd name="connsiteY2" fmla="*/ 133350 h 133350"/>
                  <a:gd name="connsiteX3" fmla="*/ 228 w 109767"/>
                  <a:gd name="connsiteY3" fmla="*/ 0 h 133350"/>
                  <a:gd name="connsiteX4" fmla="*/ 66904 w 109767"/>
                  <a:gd name="connsiteY4" fmla="*/ 0 h 133350"/>
                  <a:gd name="connsiteX0" fmla="*/ 66904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66904 w 109767"/>
                  <a:gd name="connsiteY4" fmla="*/ 0 h 126206"/>
                  <a:gd name="connsiteX0" fmla="*/ 74047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74047 w 109767"/>
                  <a:gd name="connsiteY4" fmla="*/ 0 h 126206"/>
                  <a:gd name="connsiteX0" fmla="*/ 74047 w 100242"/>
                  <a:gd name="connsiteY0" fmla="*/ 0 h 126206"/>
                  <a:gd name="connsiteX1" fmla="*/ 100242 w 100242"/>
                  <a:gd name="connsiteY1" fmla="*/ 126205 h 126206"/>
                  <a:gd name="connsiteX2" fmla="*/ 230 w 100242"/>
                  <a:gd name="connsiteY2" fmla="*/ 126206 h 126206"/>
                  <a:gd name="connsiteX3" fmla="*/ 228 w 100242"/>
                  <a:gd name="connsiteY3" fmla="*/ 0 h 126206"/>
                  <a:gd name="connsiteX4" fmla="*/ 74047 w 100242"/>
                  <a:gd name="connsiteY4" fmla="*/ 0 h 126206"/>
                  <a:gd name="connsiteX0" fmla="*/ 35947 w 100242"/>
                  <a:gd name="connsiteY0" fmla="*/ 0 h 159543"/>
                  <a:gd name="connsiteX1" fmla="*/ 100242 w 100242"/>
                  <a:gd name="connsiteY1" fmla="*/ 159542 h 159543"/>
                  <a:gd name="connsiteX2" fmla="*/ 230 w 100242"/>
                  <a:gd name="connsiteY2" fmla="*/ 159543 h 159543"/>
                  <a:gd name="connsiteX3" fmla="*/ 228 w 100242"/>
                  <a:gd name="connsiteY3" fmla="*/ 33337 h 159543"/>
                  <a:gd name="connsiteX4" fmla="*/ 35947 w 100242"/>
                  <a:gd name="connsiteY4" fmla="*/ 0 h 159543"/>
                  <a:gd name="connsiteX0" fmla="*/ 35947 w 126436"/>
                  <a:gd name="connsiteY0" fmla="*/ 0 h 161923"/>
                  <a:gd name="connsiteX1" fmla="*/ 126436 w 126436"/>
                  <a:gd name="connsiteY1" fmla="*/ 161923 h 161923"/>
                  <a:gd name="connsiteX2" fmla="*/ 230 w 126436"/>
                  <a:gd name="connsiteY2" fmla="*/ 159543 h 161923"/>
                  <a:gd name="connsiteX3" fmla="*/ 228 w 126436"/>
                  <a:gd name="connsiteY3" fmla="*/ 33337 h 161923"/>
                  <a:gd name="connsiteX4" fmla="*/ 35947 w 126436"/>
                  <a:gd name="connsiteY4" fmla="*/ 0 h 161923"/>
                  <a:gd name="connsiteX0" fmla="*/ 35947 w 126436"/>
                  <a:gd name="connsiteY0" fmla="*/ 0 h 161923"/>
                  <a:gd name="connsiteX1" fmla="*/ 92869 w 126436"/>
                  <a:gd name="connsiteY1" fmla="*/ 76197 h 161923"/>
                  <a:gd name="connsiteX2" fmla="*/ 126436 w 126436"/>
                  <a:gd name="connsiteY2" fmla="*/ 161923 h 161923"/>
                  <a:gd name="connsiteX3" fmla="*/ 230 w 126436"/>
                  <a:gd name="connsiteY3" fmla="*/ 159543 h 161923"/>
                  <a:gd name="connsiteX4" fmla="*/ 228 w 126436"/>
                  <a:gd name="connsiteY4" fmla="*/ 33337 h 161923"/>
                  <a:gd name="connsiteX5" fmla="*/ 35947 w 126436"/>
                  <a:gd name="connsiteY5" fmla="*/ 0 h 161923"/>
                  <a:gd name="connsiteX0" fmla="*/ 35717 w 126206"/>
                  <a:gd name="connsiteY0" fmla="*/ 2382 h 164305"/>
                  <a:gd name="connsiteX1" fmla="*/ 92639 w 126206"/>
                  <a:gd name="connsiteY1" fmla="*/ 78579 h 164305"/>
                  <a:gd name="connsiteX2" fmla="*/ 126206 w 126206"/>
                  <a:gd name="connsiteY2" fmla="*/ 164305 h 164305"/>
                  <a:gd name="connsiteX3" fmla="*/ 0 w 126206"/>
                  <a:gd name="connsiteY3" fmla="*/ 161925 h 164305"/>
                  <a:gd name="connsiteX4" fmla="*/ 9523 w 126206"/>
                  <a:gd name="connsiteY4" fmla="*/ 0 h 164305"/>
                  <a:gd name="connsiteX5" fmla="*/ 35717 w 126206"/>
                  <a:gd name="connsiteY5" fmla="*/ 2382 h 164305"/>
                  <a:gd name="connsiteX0" fmla="*/ 26207 w 116696"/>
                  <a:gd name="connsiteY0" fmla="*/ 2382 h 166688"/>
                  <a:gd name="connsiteX1" fmla="*/ 83129 w 116696"/>
                  <a:gd name="connsiteY1" fmla="*/ 78579 h 166688"/>
                  <a:gd name="connsiteX2" fmla="*/ 116696 w 116696"/>
                  <a:gd name="connsiteY2" fmla="*/ 164305 h 166688"/>
                  <a:gd name="connsiteX3" fmla="*/ 35734 w 116696"/>
                  <a:gd name="connsiteY3" fmla="*/ 166688 h 166688"/>
                  <a:gd name="connsiteX4" fmla="*/ 13 w 116696"/>
                  <a:gd name="connsiteY4" fmla="*/ 0 h 166688"/>
                  <a:gd name="connsiteX5" fmla="*/ 26207 w 116696"/>
                  <a:gd name="connsiteY5" fmla="*/ 2382 h 166688"/>
                  <a:gd name="connsiteX0" fmla="*/ 4435 w 94924"/>
                  <a:gd name="connsiteY0" fmla="*/ 0 h 164306"/>
                  <a:gd name="connsiteX1" fmla="*/ 61357 w 94924"/>
                  <a:gd name="connsiteY1" fmla="*/ 76197 h 164306"/>
                  <a:gd name="connsiteX2" fmla="*/ 94924 w 94924"/>
                  <a:gd name="connsiteY2" fmla="*/ 161923 h 164306"/>
                  <a:gd name="connsiteX3" fmla="*/ 13962 w 94924"/>
                  <a:gd name="connsiteY3" fmla="*/ 164306 h 164306"/>
                  <a:gd name="connsiteX4" fmla="*/ 4435 w 94924"/>
                  <a:gd name="connsiteY4" fmla="*/ 0 h 164306"/>
                  <a:gd name="connsiteX0" fmla="*/ 0 w 90489"/>
                  <a:gd name="connsiteY0" fmla="*/ 0 h 164306"/>
                  <a:gd name="connsiteX1" fmla="*/ 56922 w 90489"/>
                  <a:gd name="connsiteY1" fmla="*/ 76197 h 164306"/>
                  <a:gd name="connsiteX2" fmla="*/ 90489 w 90489"/>
                  <a:gd name="connsiteY2" fmla="*/ 161923 h 164306"/>
                  <a:gd name="connsiteX3" fmla="*/ 9527 w 90489"/>
                  <a:gd name="connsiteY3" fmla="*/ 164306 h 164306"/>
                  <a:gd name="connsiteX4" fmla="*/ 0 w 90489"/>
                  <a:gd name="connsiteY4" fmla="*/ 0 h 164306"/>
                  <a:gd name="connsiteX0" fmla="*/ 0 w 83345"/>
                  <a:gd name="connsiteY0" fmla="*/ 0 h 164306"/>
                  <a:gd name="connsiteX1" fmla="*/ 49778 w 83345"/>
                  <a:gd name="connsiteY1" fmla="*/ 76197 h 164306"/>
                  <a:gd name="connsiteX2" fmla="*/ 83345 w 83345"/>
                  <a:gd name="connsiteY2" fmla="*/ 161923 h 164306"/>
                  <a:gd name="connsiteX3" fmla="*/ 2383 w 83345"/>
                  <a:gd name="connsiteY3" fmla="*/ 164306 h 164306"/>
                  <a:gd name="connsiteX4" fmla="*/ 0 w 83345"/>
                  <a:gd name="connsiteY4" fmla="*/ 0 h 1643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3345" h="164306">
                    <a:moveTo>
                      <a:pt x="0" y="0"/>
                    </a:moveTo>
                    <a:cubicBezTo>
                      <a:pt x="15005" y="27780"/>
                      <a:pt x="34773" y="48417"/>
                      <a:pt x="49778" y="76197"/>
                    </a:cubicBezTo>
                    <a:lnTo>
                      <a:pt x="83345" y="161923"/>
                    </a:lnTo>
                    <a:lnTo>
                      <a:pt x="2383" y="164306"/>
                    </a:lnTo>
                    <a:cubicBezTo>
                      <a:pt x="1589" y="109537"/>
                      <a:pt x="794" y="54769"/>
                      <a:pt x="0" y="0"/>
                    </a:cubicBezTo>
                    <a:close/>
                  </a:path>
                </a:pathLst>
              </a:cu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sp macro="" textlink="">
          <xdr:nvSpPr>
            <xdr:cNvPr id="86" name="Rectangle 85"/>
            <xdr:cNvSpPr/>
          </xdr:nvSpPr>
          <xdr:spPr>
            <a:xfrm>
              <a:off x="3459481" y="5362575"/>
              <a:ext cx="45719" cy="31432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Rectangle 86"/>
            <xdr:cNvSpPr/>
          </xdr:nvSpPr>
          <xdr:spPr>
            <a:xfrm>
              <a:off x="3380900" y="5362575"/>
              <a:ext cx="45719" cy="31432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8" name="Rounded Rectangle 87"/>
            <xdr:cNvSpPr/>
          </xdr:nvSpPr>
          <xdr:spPr>
            <a:xfrm>
              <a:off x="3133724" y="5364956"/>
              <a:ext cx="195266"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9" name="Rounded Rectangle 88"/>
            <xdr:cNvSpPr/>
          </xdr:nvSpPr>
          <xdr:spPr>
            <a:xfrm>
              <a:off x="2900362" y="5364956"/>
              <a:ext cx="195266"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0" name="Rounded Rectangle 89"/>
            <xdr:cNvSpPr/>
          </xdr:nvSpPr>
          <xdr:spPr>
            <a:xfrm>
              <a:off x="2667000" y="5364956"/>
              <a:ext cx="195266"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91" name="Rounded Rectangle 90"/>
            <xdr:cNvSpPr/>
          </xdr:nvSpPr>
          <xdr:spPr>
            <a:xfrm>
              <a:off x="2436019" y="5362575"/>
              <a:ext cx="195266"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57" name="Group 56"/>
          <xdr:cNvGrpSpPr>
            <a:grpSpLocks noChangeAspect="1"/>
          </xdr:cNvGrpSpPr>
        </xdr:nvGrpSpPr>
        <xdr:grpSpPr>
          <a:xfrm>
            <a:off x="4101472" y="2847787"/>
            <a:ext cx="752865" cy="405410"/>
            <a:chOff x="2377563" y="5767386"/>
            <a:chExt cx="1025243" cy="540546"/>
          </a:xfrm>
        </xdr:grpSpPr>
        <xdr:grpSp>
          <xdr:nvGrpSpPr>
            <xdr:cNvPr id="79" name="Group 78"/>
            <xdr:cNvGrpSpPr/>
          </xdr:nvGrpSpPr>
          <xdr:grpSpPr>
            <a:xfrm>
              <a:off x="2377563" y="5767386"/>
              <a:ext cx="1025243" cy="535783"/>
              <a:chOff x="4850605" y="2819398"/>
              <a:chExt cx="1025243" cy="535783"/>
            </a:xfrm>
          </xdr:grpSpPr>
          <xdr:sp macro="" textlink="">
            <xdr:nvSpPr>
              <xdr:cNvPr id="81" name="Oval 80"/>
              <xdr:cNvSpPr/>
            </xdr:nvSpPr>
            <xdr:spPr>
              <a:xfrm>
                <a:off x="5105400" y="3202781"/>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2" name="Oval 81"/>
              <xdr:cNvSpPr/>
            </xdr:nvSpPr>
            <xdr:spPr>
              <a:xfrm>
                <a:off x="5645943" y="3200400"/>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3" name="Freeform 82"/>
              <xdr:cNvSpPr/>
            </xdr:nvSpPr>
            <xdr:spPr>
              <a:xfrm>
                <a:off x="4850605" y="2819398"/>
                <a:ext cx="1025243" cy="461964"/>
              </a:xfrm>
              <a:custGeom>
                <a:avLst/>
                <a:gdLst>
                  <a:gd name="connsiteX0" fmla="*/ 78582 w 788194"/>
                  <a:gd name="connsiteY0" fmla="*/ 0 h 292894"/>
                  <a:gd name="connsiteX1" fmla="*/ 633413 w 788194"/>
                  <a:gd name="connsiteY1" fmla="*/ 4763 h 292894"/>
                  <a:gd name="connsiteX2" fmla="*/ 757238 w 788194"/>
                  <a:gd name="connsiteY2" fmla="*/ 138113 h 292894"/>
                  <a:gd name="connsiteX3" fmla="*/ 754857 w 788194"/>
                  <a:gd name="connsiteY3" fmla="*/ 245269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8194"/>
                  <a:gd name="connsiteY0" fmla="*/ 0 h 292894"/>
                  <a:gd name="connsiteX1" fmla="*/ 633413 w 788194"/>
                  <a:gd name="connsiteY1" fmla="*/ 4763 h 292894"/>
                  <a:gd name="connsiteX2" fmla="*/ 757238 w 788194"/>
                  <a:gd name="connsiteY2" fmla="*/ 138113 h 292894"/>
                  <a:gd name="connsiteX3" fmla="*/ 752476 w 788194"/>
                  <a:gd name="connsiteY3" fmla="*/ 209550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5813"/>
                  <a:gd name="connsiteY0" fmla="*/ 0 h 292894"/>
                  <a:gd name="connsiteX1" fmla="*/ 633413 w 785813"/>
                  <a:gd name="connsiteY1" fmla="*/ 4763 h 292894"/>
                  <a:gd name="connsiteX2" fmla="*/ 757238 w 785813"/>
                  <a:gd name="connsiteY2" fmla="*/ 138113 h 292894"/>
                  <a:gd name="connsiteX3" fmla="*/ 752476 w 785813"/>
                  <a:gd name="connsiteY3" fmla="*/ 209550 h 292894"/>
                  <a:gd name="connsiteX4" fmla="*/ 785813 w 785813"/>
                  <a:gd name="connsiteY4" fmla="*/ 219075 h 292894"/>
                  <a:gd name="connsiteX5" fmla="*/ 785813 w 785813"/>
                  <a:gd name="connsiteY5" fmla="*/ 292894 h 292894"/>
                  <a:gd name="connsiteX6" fmla="*/ 0 w 785813"/>
                  <a:gd name="connsiteY6" fmla="*/ 292894 h 292894"/>
                  <a:gd name="connsiteX7" fmla="*/ 0 w 785813"/>
                  <a:gd name="connsiteY7" fmla="*/ 252413 h 292894"/>
                  <a:gd name="connsiteX8" fmla="*/ 26194 w 785813"/>
                  <a:gd name="connsiteY8" fmla="*/ 250031 h 292894"/>
                  <a:gd name="connsiteX9" fmla="*/ 21432 w 785813"/>
                  <a:gd name="connsiteY9" fmla="*/ 130969 h 292894"/>
                  <a:gd name="connsiteX10" fmla="*/ 78582 w 785813"/>
                  <a:gd name="connsiteY10"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38113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11907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11907 w 785813"/>
                  <a:gd name="connsiteY11" fmla="*/ 0 h 292894"/>
                  <a:gd name="connsiteX0" fmla="*/ 19051 w 785813"/>
                  <a:gd name="connsiteY0" fmla="*/ 0 h 364332"/>
                  <a:gd name="connsiteX1" fmla="*/ 633413 w 785813"/>
                  <a:gd name="connsiteY1" fmla="*/ 76201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628650 w 785813"/>
                  <a:gd name="connsiteY1" fmla="*/ 2383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561973 w 785813"/>
                  <a:gd name="connsiteY1" fmla="*/ 33892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197874 w 785813"/>
                  <a:gd name="connsiteY1" fmla="*/ 31510 h 364332"/>
                  <a:gd name="connsiteX2" fmla="*/ 561973 w 785813"/>
                  <a:gd name="connsiteY2" fmla="*/ 33892 h 364332"/>
                  <a:gd name="connsiteX3" fmla="*/ 685801 w 785813"/>
                  <a:gd name="connsiteY3" fmla="*/ 202407 h 364332"/>
                  <a:gd name="connsiteX4" fmla="*/ 757238 w 785813"/>
                  <a:gd name="connsiteY4" fmla="*/ 219076 h 364332"/>
                  <a:gd name="connsiteX5" fmla="*/ 762001 w 785813"/>
                  <a:gd name="connsiteY5" fmla="*/ 280988 h 364332"/>
                  <a:gd name="connsiteX6" fmla="*/ 785813 w 785813"/>
                  <a:gd name="connsiteY6" fmla="*/ 290513 h 364332"/>
                  <a:gd name="connsiteX7" fmla="*/ 785813 w 785813"/>
                  <a:gd name="connsiteY7" fmla="*/ 364332 h 364332"/>
                  <a:gd name="connsiteX8" fmla="*/ 0 w 785813"/>
                  <a:gd name="connsiteY8" fmla="*/ 364332 h 364332"/>
                  <a:gd name="connsiteX9" fmla="*/ 0 w 785813"/>
                  <a:gd name="connsiteY9" fmla="*/ 323851 h 364332"/>
                  <a:gd name="connsiteX10" fmla="*/ 26194 w 785813"/>
                  <a:gd name="connsiteY10" fmla="*/ 321469 h 364332"/>
                  <a:gd name="connsiteX11" fmla="*/ 21432 w 785813"/>
                  <a:gd name="connsiteY11" fmla="*/ 202407 h 364332"/>
                  <a:gd name="connsiteX12" fmla="*/ 19051 w 785813"/>
                  <a:gd name="connsiteY12" fmla="*/ 0 h 364332"/>
                  <a:gd name="connsiteX0" fmla="*/ 19051 w 785813"/>
                  <a:gd name="connsiteY0" fmla="*/ 0 h 364332"/>
                  <a:gd name="connsiteX1" fmla="*/ 197874 w 785813"/>
                  <a:gd name="connsiteY1" fmla="*/ 31510 h 364332"/>
                  <a:gd name="connsiteX2" fmla="*/ 561973 w 785813"/>
                  <a:gd name="connsiteY2" fmla="*/ 33892 h 364332"/>
                  <a:gd name="connsiteX3" fmla="*/ 661989 w 785813"/>
                  <a:gd name="connsiteY3" fmla="*/ 163019 h 364332"/>
                  <a:gd name="connsiteX4" fmla="*/ 757238 w 785813"/>
                  <a:gd name="connsiteY4" fmla="*/ 219076 h 364332"/>
                  <a:gd name="connsiteX5" fmla="*/ 762001 w 785813"/>
                  <a:gd name="connsiteY5" fmla="*/ 280988 h 364332"/>
                  <a:gd name="connsiteX6" fmla="*/ 785813 w 785813"/>
                  <a:gd name="connsiteY6" fmla="*/ 290513 h 364332"/>
                  <a:gd name="connsiteX7" fmla="*/ 785813 w 785813"/>
                  <a:gd name="connsiteY7" fmla="*/ 364332 h 364332"/>
                  <a:gd name="connsiteX8" fmla="*/ 0 w 785813"/>
                  <a:gd name="connsiteY8" fmla="*/ 364332 h 364332"/>
                  <a:gd name="connsiteX9" fmla="*/ 0 w 785813"/>
                  <a:gd name="connsiteY9" fmla="*/ 323851 h 364332"/>
                  <a:gd name="connsiteX10" fmla="*/ 26194 w 785813"/>
                  <a:gd name="connsiteY10" fmla="*/ 321469 h 364332"/>
                  <a:gd name="connsiteX11" fmla="*/ 21432 w 785813"/>
                  <a:gd name="connsiteY11" fmla="*/ 202407 h 364332"/>
                  <a:gd name="connsiteX12" fmla="*/ 19051 w 785813"/>
                  <a:gd name="connsiteY12" fmla="*/ 0 h 364332"/>
                  <a:gd name="connsiteX0" fmla="*/ 19051 w 809625"/>
                  <a:gd name="connsiteY0" fmla="*/ 0 h 364332"/>
                  <a:gd name="connsiteX1" fmla="*/ 197874 w 809625"/>
                  <a:gd name="connsiteY1" fmla="*/ 31510 h 364332"/>
                  <a:gd name="connsiteX2" fmla="*/ 561973 w 809625"/>
                  <a:gd name="connsiteY2" fmla="*/ 33892 h 364332"/>
                  <a:gd name="connsiteX3" fmla="*/ 661989 w 809625"/>
                  <a:gd name="connsiteY3" fmla="*/ 163019 h 364332"/>
                  <a:gd name="connsiteX4" fmla="*/ 809625 w 809625"/>
                  <a:gd name="connsiteY4" fmla="*/ 165903 h 364332"/>
                  <a:gd name="connsiteX5" fmla="*/ 762001 w 809625"/>
                  <a:gd name="connsiteY5" fmla="*/ 280988 h 364332"/>
                  <a:gd name="connsiteX6" fmla="*/ 785813 w 809625"/>
                  <a:gd name="connsiteY6" fmla="*/ 290513 h 364332"/>
                  <a:gd name="connsiteX7" fmla="*/ 785813 w 809625"/>
                  <a:gd name="connsiteY7" fmla="*/ 364332 h 364332"/>
                  <a:gd name="connsiteX8" fmla="*/ 0 w 809625"/>
                  <a:gd name="connsiteY8" fmla="*/ 364332 h 364332"/>
                  <a:gd name="connsiteX9" fmla="*/ 0 w 809625"/>
                  <a:gd name="connsiteY9" fmla="*/ 323851 h 364332"/>
                  <a:gd name="connsiteX10" fmla="*/ 26194 w 809625"/>
                  <a:gd name="connsiteY10" fmla="*/ 321469 h 364332"/>
                  <a:gd name="connsiteX11" fmla="*/ 21432 w 809625"/>
                  <a:gd name="connsiteY11" fmla="*/ 202407 h 364332"/>
                  <a:gd name="connsiteX12" fmla="*/ 19051 w 809625"/>
                  <a:gd name="connsiteY12" fmla="*/ 0 h 364332"/>
                  <a:gd name="connsiteX0" fmla="*/ 19051 w 881069"/>
                  <a:gd name="connsiteY0" fmla="*/ 0 h 364332"/>
                  <a:gd name="connsiteX1" fmla="*/ 197874 w 881069"/>
                  <a:gd name="connsiteY1" fmla="*/ 31510 h 364332"/>
                  <a:gd name="connsiteX2" fmla="*/ 561973 w 881069"/>
                  <a:gd name="connsiteY2" fmla="*/ 33892 h 364332"/>
                  <a:gd name="connsiteX3" fmla="*/ 661989 w 881069"/>
                  <a:gd name="connsiteY3" fmla="*/ 163019 h 364332"/>
                  <a:gd name="connsiteX4" fmla="*/ 809625 w 881069"/>
                  <a:gd name="connsiteY4" fmla="*/ 165903 h 364332"/>
                  <a:gd name="connsiteX5" fmla="*/ 881063 w 881069"/>
                  <a:gd name="connsiteY5" fmla="*/ 198275 h 364332"/>
                  <a:gd name="connsiteX6" fmla="*/ 785813 w 881069"/>
                  <a:gd name="connsiteY6" fmla="*/ 290513 h 364332"/>
                  <a:gd name="connsiteX7" fmla="*/ 785813 w 881069"/>
                  <a:gd name="connsiteY7" fmla="*/ 364332 h 364332"/>
                  <a:gd name="connsiteX8" fmla="*/ 0 w 881069"/>
                  <a:gd name="connsiteY8" fmla="*/ 364332 h 364332"/>
                  <a:gd name="connsiteX9" fmla="*/ 0 w 881069"/>
                  <a:gd name="connsiteY9" fmla="*/ 323851 h 364332"/>
                  <a:gd name="connsiteX10" fmla="*/ 26194 w 881069"/>
                  <a:gd name="connsiteY10" fmla="*/ 321469 h 364332"/>
                  <a:gd name="connsiteX11" fmla="*/ 21432 w 881069"/>
                  <a:gd name="connsiteY11" fmla="*/ 202407 h 364332"/>
                  <a:gd name="connsiteX12" fmla="*/ 19051 w 881069"/>
                  <a:gd name="connsiteY12" fmla="*/ 0 h 364332"/>
                  <a:gd name="connsiteX0" fmla="*/ 19051 w 885827"/>
                  <a:gd name="connsiteY0" fmla="*/ 0 h 364332"/>
                  <a:gd name="connsiteX1" fmla="*/ 197874 w 885827"/>
                  <a:gd name="connsiteY1" fmla="*/ 31510 h 364332"/>
                  <a:gd name="connsiteX2" fmla="*/ 561973 w 885827"/>
                  <a:gd name="connsiteY2" fmla="*/ 33892 h 364332"/>
                  <a:gd name="connsiteX3" fmla="*/ 661989 w 885827"/>
                  <a:gd name="connsiteY3" fmla="*/ 163019 h 364332"/>
                  <a:gd name="connsiteX4" fmla="*/ 809625 w 885827"/>
                  <a:gd name="connsiteY4" fmla="*/ 165903 h 364332"/>
                  <a:gd name="connsiteX5" fmla="*/ 881063 w 885827"/>
                  <a:gd name="connsiteY5" fmla="*/ 198275 h 364332"/>
                  <a:gd name="connsiteX6" fmla="*/ 885827 w 885827"/>
                  <a:gd name="connsiteY6" fmla="*/ 284605 h 364332"/>
                  <a:gd name="connsiteX7" fmla="*/ 785813 w 885827"/>
                  <a:gd name="connsiteY7" fmla="*/ 364332 h 364332"/>
                  <a:gd name="connsiteX8" fmla="*/ 0 w 885827"/>
                  <a:gd name="connsiteY8" fmla="*/ 364332 h 364332"/>
                  <a:gd name="connsiteX9" fmla="*/ 0 w 885827"/>
                  <a:gd name="connsiteY9" fmla="*/ 323851 h 364332"/>
                  <a:gd name="connsiteX10" fmla="*/ 26194 w 885827"/>
                  <a:gd name="connsiteY10" fmla="*/ 321469 h 364332"/>
                  <a:gd name="connsiteX11" fmla="*/ 21432 w 885827"/>
                  <a:gd name="connsiteY11" fmla="*/ 202407 h 364332"/>
                  <a:gd name="connsiteX12" fmla="*/ 19051 w 885827"/>
                  <a:gd name="connsiteY12" fmla="*/ 0 h 364332"/>
                  <a:gd name="connsiteX0" fmla="*/ 19051 w 933451"/>
                  <a:gd name="connsiteY0" fmla="*/ 0 h 364332"/>
                  <a:gd name="connsiteX1" fmla="*/ 197874 w 933451"/>
                  <a:gd name="connsiteY1" fmla="*/ 31510 h 364332"/>
                  <a:gd name="connsiteX2" fmla="*/ 561973 w 933451"/>
                  <a:gd name="connsiteY2" fmla="*/ 33892 h 364332"/>
                  <a:gd name="connsiteX3" fmla="*/ 661989 w 933451"/>
                  <a:gd name="connsiteY3" fmla="*/ 163019 h 364332"/>
                  <a:gd name="connsiteX4" fmla="*/ 809625 w 933451"/>
                  <a:gd name="connsiteY4" fmla="*/ 165903 h 364332"/>
                  <a:gd name="connsiteX5" fmla="*/ 881063 w 933451"/>
                  <a:gd name="connsiteY5" fmla="*/ 198275 h 364332"/>
                  <a:gd name="connsiteX6" fmla="*/ 885827 w 933451"/>
                  <a:gd name="connsiteY6" fmla="*/ 284605 h 364332"/>
                  <a:gd name="connsiteX7" fmla="*/ 933451 w 933451"/>
                  <a:gd name="connsiteY7" fmla="*/ 362363 h 364332"/>
                  <a:gd name="connsiteX8" fmla="*/ 0 w 933451"/>
                  <a:gd name="connsiteY8" fmla="*/ 364332 h 364332"/>
                  <a:gd name="connsiteX9" fmla="*/ 0 w 933451"/>
                  <a:gd name="connsiteY9" fmla="*/ 323851 h 364332"/>
                  <a:gd name="connsiteX10" fmla="*/ 26194 w 933451"/>
                  <a:gd name="connsiteY10" fmla="*/ 321469 h 364332"/>
                  <a:gd name="connsiteX11" fmla="*/ 21432 w 933451"/>
                  <a:gd name="connsiteY11" fmla="*/ 202407 h 364332"/>
                  <a:gd name="connsiteX12" fmla="*/ 19051 w 933451"/>
                  <a:gd name="connsiteY12" fmla="*/ 0 h 364332"/>
                  <a:gd name="connsiteX0" fmla="*/ 19051 w 940821"/>
                  <a:gd name="connsiteY0" fmla="*/ 0 h 364332"/>
                  <a:gd name="connsiteX1" fmla="*/ 197874 w 940821"/>
                  <a:gd name="connsiteY1" fmla="*/ 31510 h 364332"/>
                  <a:gd name="connsiteX2" fmla="*/ 561973 w 940821"/>
                  <a:gd name="connsiteY2" fmla="*/ 33892 h 364332"/>
                  <a:gd name="connsiteX3" fmla="*/ 661989 w 940821"/>
                  <a:gd name="connsiteY3" fmla="*/ 163019 h 364332"/>
                  <a:gd name="connsiteX4" fmla="*/ 809625 w 940821"/>
                  <a:gd name="connsiteY4" fmla="*/ 165903 h 364332"/>
                  <a:gd name="connsiteX5" fmla="*/ 881063 w 940821"/>
                  <a:gd name="connsiteY5" fmla="*/ 198275 h 364332"/>
                  <a:gd name="connsiteX6" fmla="*/ 885827 w 940821"/>
                  <a:gd name="connsiteY6" fmla="*/ 284605 h 364332"/>
                  <a:gd name="connsiteX7" fmla="*/ 940821 w 940821"/>
                  <a:gd name="connsiteY7" fmla="*/ 303282 h 364332"/>
                  <a:gd name="connsiteX8" fmla="*/ 933451 w 940821"/>
                  <a:gd name="connsiteY8" fmla="*/ 362363 h 364332"/>
                  <a:gd name="connsiteX9" fmla="*/ 0 w 940821"/>
                  <a:gd name="connsiteY9" fmla="*/ 364332 h 364332"/>
                  <a:gd name="connsiteX10" fmla="*/ 0 w 940821"/>
                  <a:gd name="connsiteY10" fmla="*/ 323851 h 364332"/>
                  <a:gd name="connsiteX11" fmla="*/ 26194 w 940821"/>
                  <a:gd name="connsiteY11" fmla="*/ 321469 h 364332"/>
                  <a:gd name="connsiteX12" fmla="*/ 21432 w 940821"/>
                  <a:gd name="connsiteY12" fmla="*/ 202407 h 364332"/>
                  <a:gd name="connsiteX13" fmla="*/ 19051 w 940821"/>
                  <a:gd name="connsiteY13" fmla="*/ 0 h 364332"/>
                  <a:gd name="connsiteX0" fmla="*/ 1128714 w 2050484"/>
                  <a:gd name="connsiteY0" fmla="*/ 0 h 362363"/>
                  <a:gd name="connsiteX1" fmla="*/ 1307537 w 2050484"/>
                  <a:gd name="connsiteY1" fmla="*/ 31510 h 362363"/>
                  <a:gd name="connsiteX2" fmla="*/ 1671636 w 2050484"/>
                  <a:gd name="connsiteY2" fmla="*/ 33892 h 362363"/>
                  <a:gd name="connsiteX3" fmla="*/ 1771652 w 2050484"/>
                  <a:gd name="connsiteY3" fmla="*/ 163019 h 362363"/>
                  <a:gd name="connsiteX4" fmla="*/ 1919288 w 2050484"/>
                  <a:gd name="connsiteY4" fmla="*/ 165903 h 362363"/>
                  <a:gd name="connsiteX5" fmla="*/ 1990726 w 2050484"/>
                  <a:gd name="connsiteY5" fmla="*/ 198275 h 362363"/>
                  <a:gd name="connsiteX6" fmla="*/ 1995490 w 2050484"/>
                  <a:gd name="connsiteY6" fmla="*/ 284605 h 362363"/>
                  <a:gd name="connsiteX7" fmla="*/ 2050484 w 2050484"/>
                  <a:gd name="connsiteY7" fmla="*/ 303282 h 362363"/>
                  <a:gd name="connsiteX8" fmla="*/ 2043114 w 2050484"/>
                  <a:gd name="connsiteY8" fmla="*/ 362363 h 362363"/>
                  <a:gd name="connsiteX9" fmla="*/ 0 w 2050484"/>
                  <a:gd name="connsiteY9" fmla="*/ 360393 h 362363"/>
                  <a:gd name="connsiteX10" fmla="*/ 1109663 w 2050484"/>
                  <a:gd name="connsiteY10" fmla="*/ 323851 h 362363"/>
                  <a:gd name="connsiteX11" fmla="*/ 1135857 w 2050484"/>
                  <a:gd name="connsiteY11" fmla="*/ 321469 h 362363"/>
                  <a:gd name="connsiteX12" fmla="*/ 1131095 w 2050484"/>
                  <a:gd name="connsiteY12" fmla="*/ 202407 h 362363"/>
                  <a:gd name="connsiteX13" fmla="*/ 1128714 w 2050484"/>
                  <a:gd name="connsiteY13" fmla="*/ 0 h 362363"/>
                  <a:gd name="connsiteX0" fmla="*/ 1128714 w 2050484"/>
                  <a:gd name="connsiteY0" fmla="*/ 0 h 362363"/>
                  <a:gd name="connsiteX1" fmla="*/ 1307537 w 2050484"/>
                  <a:gd name="connsiteY1" fmla="*/ 31510 h 362363"/>
                  <a:gd name="connsiteX2" fmla="*/ 1671636 w 2050484"/>
                  <a:gd name="connsiteY2" fmla="*/ 33892 h 362363"/>
                  <a:gd name="connsiteX3" fmla="*/ 1771652 w 2050484"/>
                  <a:gd name="connsiteY3" fmla="*/ 163019 h 362363"/>
                  <a:gd name="connsiteX4" fmla="*/ 1919288 w 2050484"/>
                  <a:gd name="connsiteY4" fmla="*/ 165903 h 362363"/>
                  <a:gd name="connsiteX5" fmla="*/ 1990726 w 2050484"/>
                  <a:gd name="connsiteY5" fmla="*/ 198275 h 362363"/>
                  <a:gd name="connsiteX6" fmla="*/ 1995490 w 2050484"/>
                  <a:gd name="connsiteY6" fmla="*/ 284605 h 362363"/>
                  <a:gd name="connsiteX7" fmla="*/ 2050484 w 2050484"/>
                  <a:gd name="connsiteY7" fmla="*/ 303282 h 362363"/>
                  <a:gd name="connsiteX8" fmla="*/ 2043114 w 2050484"/>
                  <a:gd name="connsiteY8" fmla="*/ 362363 h 362363"/>
                  <a:gd name="connsiteX9" fmla="*/ 0 w 2050484"/>
                  <a:gd name="connsiteY9" fmla="*/ 360393 h 362363"/>
                  <a:gd name="connsiteX10" fmla="*/ 2 w 2050484"/>
                  <a:gd name="connsiteY10" fmla="*/ 298249 h 362363"/>
                  <a:gd name="connsiteX11" fmla="*/ 1135857 w 2050484"/>
                  <a:gd name="connsiteY11" fmla="*/ 321469 h 362363"/>
                  <a:gd name="connsiteX12" fmla="*/ 1131095 w 2050484"/>
                  <a:gd name="connsiteY12" fmla="*/ 202407 h 362363"/>
                  <a:gd name="connsiteX13" fmla="*/ 1128714 w 2050484"/>
                  <a:gd name="connsiteY13" fmla="*/ 0 h 362363"/>
                  <a:gd name="connsiteX0" fmla="*/ 1128714 w 2050484"/>
                  <a:gd name="connsiteY0" fmla="*/ 0 h 362363"/>
                  <a:gd name="connsiteX1" fmla="*/ 1307537 w 2050484"/>
                  <a:gd name="connsiteY1" fmla="*/ 31510 h 362363"/>
                  <a:gd name="connsiteX2" fmla="*/ 1671636 w 2050484"/>
                  <a:gd name="connsiteY2" fmla="*/ 33892 h 362363"/>
                  <a:gd name="connsiteX3" fmla="*/ 1771652 w 2050484"/>
                  <a:gd name="connsiteY3" fmla="*/ 163019 h 362363"/>
                  <a:gd name="connsiteX4" fmla="*/ 1919288 w 2050484"/>
                  <a:gd name="connsiteY4" fmla="*/ 165903 h 362363"/>
                  <a:gd name="connsiteX5" fmla="*/ 1990726 w 2050484"/>
                  <a:gd name="connsiteY5" fmla="*/ 198275 h 362363"/>
                  <a:gd name="connsiteX6" fmla="*/ 1995490 w 2050484"/>
                  <a:gd name="connsiteY6" fmla="*/ 284605 h 362363"/>
                  <a:gd name="connsiteX7" fmla="*/ 2050484 w 2050484"/>
                  <a:gd name="connsiteY7" fmla="*/ 303282 h 362363"/>
                  <a:gd name="connsiteX8" fmla="*/ 2043114 w 2050484"/>
                  <a:gd name="connsiteY8" fmla="*/ 362363 h 362363"/>
                  <a:gd name="connsiteX9" fmla="*/ 0 w 2050484"/>
                  <a:gd name="connsiteY9" fmla="*/ 360393 h 362363"/>
                  <a:gd name="connsiteX10" fmla="*/ 2 w 2050484"/>
                  <a:gd name="connsiteY10" fmla="*/ 298249 h 362363"/>
                  <a:gd name="connsiteX11" fmla="*/ 1135857 w 2050484"/>
                  <a:gd name="connsiteY11" fmla="*/ 295867 h 362363"/>
                  <a:gd name="connsiteX12" fmla="*/ 1131095 w 2050484"/>
                  <a:gd name="connsiteY12" fmla="*/ 202407 h 362363"/>
                  <a:gd name="connsiteX13" fmla="*/ 1128714 w 2050484"/>
                  <a:gd name="connsiteY13" fmla="*/ 0 h 362363"/>
                  <a:gd name="connsiteX0" fmla="*/ 1123953 w 2050484"/>
                  <a:gd name="connsiteY0" fmla="*/ 0 h 382057"/>
                  <a:gd name="connsiteX1" fmla="*/ 1307537 w 2050484"/>
                  <a:gd name="connsiteY1" fmla="*/ 51204 h 382057"/>
                  <a:gd name="connsiteX2" fmla="*/ 1671636 w 2050484"/>
                  <a:gd name="connsiteY2" fmla="*/ 53586 h 382057"/>
                  <a:gd name="connsiteX3" fmla="*/ 1771652 w 2050484"/>
                  <a:gd name="connsiteY3" fmla="*/ 182713 h 382057"/>
                  <a:gd name="connsiteX4" fmla="*/ 1919288 w 2050484"/>
                  <a:gd name="connsiteY4" fmla="*/ 185597 h 382057"/>
                  <a:gd name="connsiteX5" fmla="*/ 1990726 w 2050484"/>
                  <a:gd name="connsiteY5" fmla="*/ 217969 h 382057"/>
                  <a:gd name="connsiteX6" fmla="*/ 1995490 w 2050484"/>
                  <a:gd name="connsiteY6" fmla="*/ 304299 h 382057"/>
                  <a:gd name="connsiteX7" fmla="*/ 2050484 w 2050484"/>
                  <a:gd name="connsiteY7" fmla="*/ 322976 h 382057"/>
                  <a:gd name="connsiteX8" fmla="*/ 2043114 w 2050484"/>
                  <a:gd name="connsiteY8" fmla="*/ 382057 h 382057"/>
                  <a:gd name="connsiteX9" fmla="*/ 0 w 2050484"/>
                  <a:gd name="connsiteY9" fmla="*/ 380087 h 382057"/>
                  <a:gd name="connsiteX10" fmla="*/ 2 w 2050484"/>
                  <a:gd name="connsiteY10" fmla="*/ 317943 h 382057"/>
                  <a:gd name="connsiteX11" fmla="*/ 1135857 w 2050484"/>
                  <a:gd name="connsiteY11" fmla="*/ 315561 h 382057"/>
                  <a:gd name="connsiteX12" fmla="*/ 1131095 w 2050484"/>
                  <a:gd name="connsiteY12" fmla="*/ 222101 h 382057"/>
                  <a:gd name="connsiteX13" fmla="*/ 1123953 w 2050484"/>
                  <a:gd name="connsiteY13" fmla="*/ 0 h 382057"/>
                  <a:gd name="connsiteX0" fmla="*/ 1123953 w 2050484"/>
                  <a:gd name="connsiteY0" fmla="*/ 0 h 382057"/>
                  <a:gd name="connsiteX1" fmla="*/ 1517087 w 2050484"/>
                  <a:gd name="connsiteY1" fmla="*/ 49235 h 382057"/>
                  <a:gd name="connsiteX2" fmla="*/ 1671636 w 2050484"/>
                  <a:gd name="connsiteY2" fmla="*/ 53586 h 382057"/>
                  <a:gd name="connsiteX3" fmla="*/ 1771652 w 2050484"/>
                  <a:gd name="connsiteY3" fmla="*/ 182713 h 382057"/>
                  <a:gd name="connsiteX4" fmla="*/ 1919288 w 2050484"/>
                  <a:gd name="connsiteY4" fmla="*/ 185597 h 382057"/>
                  <a:gd name="connsiteX5" fmla="*/ 1990726 w 2050484"/>
                  <a:gd name="connsiteY5" fmla="*/ 217969 h 382057"/>
                  <a:gd name="connsiteX6" fmla="*/ 1995490 w 2050484"/>
                  <a:gd name="connsiteY6" fmla="*/ 304299 h 382057"/>
                  <a:gd name="connsiteX7" fmla="*/ 2050484 w 2050484"/>
                  <a:gd name="connsiteY7" fmla="*/ 322976 h 382057"/>
                  <a:gd name="connsiteX8" fmla="*/ 2043114 w 2050484"/>
                  <a:gd name="connsiteY8" fmla="*/ 382057 h 382057"/>
                  <a:gd name="connsiteX9" fmla="*/ 0 w 2050484"/>
                  <a:gd name="connsiteY9" fmla="*/ 380087 h 382057"/>
                  <a:gd name="connsiteX10" fmla="*/ 2 w 2050484"/>
                  <a:gd name="connsiteY10" fmla="*/ 317943 h 382057"/>
                  <a:gd name="connsiteX11" fmla="*/ 1135857 w 2050484"/>
                  <a:gd name="connsiteY11" fmla="*/ 315561 h 382057"/>
                  <a:gd name="connsiteX12" fmla="*/ 1131095 w 2050484"/>
                  <a:gd name="connsiteY12" fmla="*/ 222101 h 382057"/>
                  <a:gd name="connsiteX13" fmla="*/ 1123953 w 2050484"/>
                  <a:gd name="connsiteY13" fmla="*/ 0 h 382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050484" h="382057">
                    <a:moveTo>
                      <a:pt x="1123953" y="0"/>
                    </a:moveTo>
                    <a:cubicBezTo>
                      <a:pt x="1186736" y="3282"/>
                      <a:pt x="1454304" y="45953"/>
                      <a:pt x="1517087" y="49235"/>
                    </a:cubicBezTo>
                    <a:lnTo>
                      <a:pt x="1671636" y="53586"/>
                    </a:lnTo>
                    <a:cubicBezTo>
                      <a:pt x="1697036" y="79780"/>
                      <a:pt x="1746252" y="156519"/>
                      <a:pt x="1771652" y="182713"/>
                    </a:cubicBezTo>
                    <a:lnTo>
                      <a:pt x="1919288" y="185597"/>
                    </a:lnTo>
                    <a:cubicBezTo>
                      <a:pt x="1918494" y="221316"/>
                      <a:pt x="1991520" y="182250"/>
                      <a:pt x="1990726" y="217969"/>
                    </a:cubicBezTo>
                    <a:lnTo>
                      <a:pt x="1995490" y="304299"/>
                    </a:lnTo>
                    <a:cubicBezTo>
                      <a:pt x="1999534" y="313150"/>
                      <a:pt x="2046440" y="314125"/>
                      <a:pt x="2050484" y="322976"/>
                    </a:cubicBezTo>
                    <a:lnTo>
                      <a:pt x="2043114" y="382057"/>
                    </a:lnTo>
                    <a:lnTo>
                      <a:pt x="0" y="380087"/>
                    </a:lnTo>
                    <a:cubicBezTo>
                      <a:pt x="1" y="359372"/>
                      <a:pt x="1" y="338658"/>
                      <a:pt x="2" y="317943"/>
                    </a:cubicBezTo>
                    <a:lnTo>
                      <a:pt x="1135857" y="315561"/>
                    </a:lnTo>
                    <a:lnTo>
                      <a:pt x="1131095" y="222101"/>
                    </a:lnTo>
                    <a:cubicBezTo>
                      <a:pt x="1130301" y="154632"/>
                      <a:pt x="1124747" y="67469"/>
                      <a:pt x="1123953" y="0"/>
                    </a:cubicBez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4" name="Freeform 83"/>
              <xdr:cNvSpPr/>
            </xdr:nvSpPr>
            <xdr:spPr>
              <a:xfrm>
                <a:off x="5602426" y="2903938"/>
                <a:ext cx="100242" cy="126206"/>
              </a:xfrm>
              <a:custGeom>
                <a:avLst/>
                <a:gdLst>
                  <a:gd name="connsiteX0" fmla="*/ 64294 w 147638"/>
                  <a:gd name="connsiteY0" fmla="*/ 0 h 102393"/>
                  <a:gd name="connsiteX1" fmla="*/ 147638 w 147638"/>
                  <a:gd name="connsiteY1" fmla="*/ 102393 h 102393"/>
                  <a:gd name="connsiteX2" fmla="*/ 0 w 147638"/>
                  <a:gd name="connsiteY2" fmla="*/ 97631 h 102393"/>
                  <a:gd name="connsiteX3" fmla="*/ 0 w 147638"/>
                  <a:gd name="connsiteY3" fmla="*/ 2381 h 102393"/>
                  <a:gd name="connsiteX4" fmla="*/ 64294 w 147638"/>
                  <a:gd name="connsiteY4" fmla="*/ 0 h 102393"/>
                  <a:gd name="connsiteX0" fmla="*/ 64294 w 147638"/>
                  <a:gd name="connsiteY0" fmla="*/ 0 h 104775"/>
                  <a:gd name="connsiteX1" fmla="*/ 147638 w 147638"/>
                  <a:gd name="connsiteY1" fmla="*/ 102393 h 104775"/>
                  <a:gd name="connsiteX2" fmla="*/ 2382 w 147638"/>
                  <a:gd name="connsiteY2" fmla="*/ 104775 h 104775"/>
                  <a:gd name="connsiteX3" fmla="*/ 0 w 147638"/>
                  <a:gd name="connsiteY3" fmla="*/ 2381 h 104775"/>
                  <a:gd name="connsiteX4" fmla="*/ 64294 w 147638"/>
                  <a:gd name="connsiteY4" fmla="*/ 0 h 104775"/>
                  <a:gd name="connsiteX0" fmla="*/ 64294 w 157163"/>
                  <a:gd name="connsiteY0" fmla="*/ 0 h 104775"/>
                  <a:gd name="connsiteX1" fmla="*/ 157163 w 157163"/>
                  <a:gd name="connsiteY1" fmla="*/ 102393 h 104775"/>
                  <a:gd name="connsiteX2" fmla="*/ 2382 w 157163"/>
                  <a:gd name="connsiteY2" fmla="*/ 104775 h 104775"/>
                  <a:gd name="connsiteX3" fmla="*/ 0 w 157163"/>
                  <a:gd name="connsiteY3" fmla="*/ 2381 h 104775"/>
                  <a:gd name="connsiteX4" fmla="*/ 64294 w 157163"/>
                  <a:gd name="connsiteY4" fmla="*/ 0 h 104775"/>
                  <a:gd name="connsiteX0" fmla="*/ 66674 w 159543"/>
                  <a:gd name="connsiteY0" fmla="*/ 0 h 102393"/>
                  <a:gd name="connsiteX1" fmla="*/ 159543 w 159543"/>
                  <a:gd name="connsiteY1" fmla="*/ 102393 h 102393"/>
                  <a:gd name="connsiteX2" fmla="*/ 0 w 159543"/>
                  <a:gd name="connsiteY2" fmla="*/ 80962 h 102393"/>
                  <a:gd name="connsiteX3" fmla="*/ 2380 w 159543"/>
                  <a:gd name="connsiteY3" fmla="*/ 2381 h 102393"/>
                  <a:gd name="connsiteX4" fmla="*/ 66674 w 159543"/>
                  <a:gd name="connsiteY4" fmla="*/ 0 h 102393"/>
                  <a:gd name="connsiteX0" fmla="*/ 66674 w 142874"/>
                  <a:gd name="connsiteY0" fmla="*/ 0 h 88105"/>
                  <a:gd name="connsiteX1" fmla="*/ 142874 w 142874"/>
                  <a:gd name="connsiteY1" fmla="*/ 88105 h 88105"/>
                  <a:gd name="connsiteX2" fmla="*/ 0 w 142874"/>
                  <a:gd name="connsiteY2" fmla="*/ 80962 h 88105"/>
                  <a:gd name="connsiteX3" fmla="*/ 2380 w 142874"/>
                  <a:gd name="connsiteY3" fmla="*/ 2381 h 88105"/>
                  <a:gd name="connsiteX4" fmla="*/ 66674 w 142874"/>
                  <a:gd name="connsiteY4" fmla="*/ 0 h 88105"/>
                  <a:gd name="connsiteX0" fmla="*/ 66674 w 145256"/>
                  <a:gd name="connsiteY0" fmla="*/ 0 h 80962"/>
                  <a:gd name="connsiteX1" fmla="*/ 145256 w 145256"/>
                  <a:gd name="connsiteY1" fmla="*/ 80961 h 80962"/>
                  <a:gd name="connsiteX2" fmla="*/ 0 w 145256"/>
                  <a:gd name="connsiteY2" fmla="*/ 80962 h 80962"/>
                  <a:gd name="connsiteX3" fmla="*/ 2380 w 145256"/>
                  <a:gd name="connsiteY3" fmla="*/ 2381 h 80962"/>
                  <a:gd name="connsiteX4" fmla="*/ 66674 w 145256"/>
                  <a:gd name="connsiteY4" fmla="*/ 0 h 80962"/>
                  <a:gd name="connsiteX0" fmla="*/ 66674 w 85725"/>
                  <a:gd name="connsiteY0" fmla="*/ 0 h 88105"/>
                  <a:gd name="connsiteX1" fmla="*/ 85725 w 85725"/>
                  <a:gd name="connsiteY1" fmla="*/ 88105 h 88105"/>
                  <a:gd name="connsiteX2" fmla="*/ 0 w 85725"/>
                  <a:gd name="connsiteY2" fmla="*/ 80962 h 88105"/>
                  <a:gd name="connsiteX3" fmla="*/ 2380 w 85725"/>
                  <a:gd name="connsiteY3" fmla="*/ 2381 h 88105"/>
                  <a:gd name="connsiteX4" fmla="*/ 66674 w 85725"/>
                  <a:gd name="connsiteY4" fmla="*/ 0 h 88105"/>
                  <a:gd name="connsiteX0" fmla="*/ 66674 w 92869"/>
                  <a:gd name="connsiteY0" fmla="*/ 0 h 88105"/>
                  <a:gd name="connsiteX1" fmla="*/ 92869 w 92869"/>
                  <a:gd name="connsiteY1" fmla="*/ 88105 h 88105"/>
                  <a:gd name="connsiteX2" fmla="*/ 0 w 92869"/>
                  <a:gd name="connsiteY2" fmla="*/ 80962 h 88105"/>
                  <a:gd name="connsiteX3" fmla="*/ 2380 w 92869"/>
                  <a:gd name="connsiteY3" fmla="*/ 2381 h 88105"/>
                  <a:gd name="connsiteX4" fmla="*/ 66674 w 92869"/>
                  <a:gd name="connsiteY4" fmla="*/ 0 h 88105"/>
                  <a:gd name="connsiteX0" fmla="*/ 66674 w 90487"/>
                  <a:gd name="connsiteY0" fmla="*/ 0 h 80962"/>
                  <a:gd name="connsiteX1" fmla="*/ 90487 w 90487"/>
                  <a:gd name="connsiteY1" fmla="*/ 78580 h 80962"/>
                  <a:gd name="connsiteX2" fmla="*/ 0 w 90487"/>
                  <a:gd name="connsiteY2" fmla="*/ 80962 h 80962"/>
                  <a:gd name="connsiteX3" fmla="*/ 2380 w 90487"/>
                  <a:gd name="connsiteY3" fmla="*/ 2381 h 80962"/>
                  <a:gd name="connsiteX4" fmla="*/ 66674 w 90487"/>
                  <a:gd name="connsiteY4" fmla="*/ 0 h 80962"/>
                  <a:gd name="connsiteX0" fmla="*/ 66904 w 90717"/>
                  <a:gd name="connsiteY0" fmla="*/ 0 h 80962"/>
                  <a:gd name="connsiteX1" fmla="*/ 90717 w 90717"/>
                  <a:gd name="connsiteY1" fmla="*/ 78580 h 80962"/>
                  <a:gd name="connsiteX2" fmla="*/ 230 w 90717"/>
                  <a:gd name="connsiteY2" fmla="*/ 80962 h 80962"/>
                  <a:gd name="connsiteX3" fmla="*/ 228 w 90717"/>
                  <a:gd name="connsiteY3" fmla="*/ 0 h 80962"/>
                  <a:gd name="connsiteX4" fmla="*/ 66904 w 90717"/>
                  <a:gd name="connsiteY4" fmla="*/ 0 h 80962"/>
                  <a:gd name="connsiteX0" fmla="*/ 66904 w 109767"/>
                  <a:gd name="connsiteY0" fmla="*/ 0 h 126205"/>
                  <a:gd name="connsiteX1" fmla="*/ 109767 w 109767"/>
                  <a:gd name="connsiteY1" fmla="*/ 126205 h 126205"/>
                  <a:gd name="connsiteX2" fmla="*/ 230 w 109767"/>
                  <a:gd name="connsiteY2" fmla="*/ 80962 h 126205"/>
                  <a:gd name="connsiteX3" fmla="*/ 228 w 109767"/>
                  <a:gd name="connsiteY3" fmla="*/ 0 h 126205"/>
                  <a:gd name="connsiteX4" fmla="*/ 66904 w 109767"/>
                  <a:gd name="connsiteY4" fmla="*/ 0 h 126205"/>
                  <a:gd name="connsiteX0" fmla="*/ 66904 w 109767"/>
                  <a:gd name="connsiteY0" fmla="*/ 0 h 126205"/>
                  <a:gd name="connsiteX1" fmla="*/ 109767 w 109767"/>
                  <a:gd name="connsiteY1" fmla="*/ 126205 h 126205"/>
                  <a:gd name="connsiteX2" fmla="*/ 230 w 109767"/>
                  <a:gd name="connsiteY2" fmla="*/ 116681 h 126205"/>
                  <a:gd name="connsiteX3" fmla="*/ 228 w 109767"/>
                  <a:gd name="connsiteY3" fmla="*/ 0 h 126205"/>
                  <a:gd name="connsiteX4" fmla="*/ 66904 w 109767"/>
                  <a:gd name="connsiteY4" fmla="*/ 0 h 126205"/>
                  <a:gd name="connsiteX0" fmla="*/ 66904 w 109767"/>
                  <a:gd name="connsiteY0" fmla="*/ 0 h 133350"/>
                  <a:gd name="connsiteX1" fmla="*/ 109767 w 109767"/>
                  <a:gd name="connsiteY1" fmla="*/ 126205 h 133350"/>
                  <a:gd name="connsiteX2" fmla="*/ 230 w 109767"/>
                  <a:gd name="connsiteY2" fmla="*/ 133350 h 133350"/>
                  <a:gd name="connsiteX3" fmla="*/ 228 w 109767"/>
                  <a:gd name="connsiteY3" fmla="*/ 0 h 133350"/>
                  <a:gd name="connsiteX4" fmla="*/ 66904 w 109767"/>
                  <a:gd name="connsiteY4" fmla="*/ 0 h 133350"/>
                  <a:gd name="connsiteX0" fmla="*/ 66904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66904 w 109767"/>
                  <a:gd name="connsiteY4" fmla="*/ 0 h 126206"/>
                  <a:gd name="connsiteX0" fmla="*/ 74047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74047 w 109767"/>
                  <a:gd name="connsiteY4" fmla="*/ 0 h 126206"/>
                  <a:gd name="connsiteX0" fmla="*/ 74047 w 100242"/>
                  <a:gd name="connsiteY0" fmla="*/ 0 h 126206"/>
                  <a:gd name="connsiteX1" fmla="*/ 100242 w 100242"/>
                  <a:gd name="connsiteY1" fmla="*/ 126205 h 126206"/>
                  <a:gd name="connsiteX2" fmla="*/ 230 w 100242"/>
                  <a:gd name="connsiteY2" fmla="*/ 126206 h 126206"/>
                  <a:gd name="connsiteX3" fmla="*/ 228 w 100242"/>
                  <a:gd name="connsiteY3" fmla="*/ 0 h 126206"/>
                  <a:gd name="connsiteX4" fmla="*/ 74047 w 100242"/>
                  <a:gd name="connsiteY4" fmla="*/ 0 h 1262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242" h="126206">
                    <a:moveTo>
                      <a:pt x="74047" y="0"/>
                    </a:moveTo>
                    <a:lnTo>
                      <a:pt x="100242" y="126205"/>
                    </a:lnTo>
                    <a:lnTo>
                      <a:pt x="230" y="126206"/>
                    </a:lnTo>
                    <a:cubicBezTo>
                      <a:pt x="1023" y="100012"/>
                      <a:pt x="-565" y="26194"/>
                      <a:pt x="228" y="0"/>
                    </a:cubicBezTo>
                    <a:lnTo>
                      <a:pt x="74047" y="0"/>
                    </a:lnTo>
                    <a:close/>
                  </a:path>
                </a:pathLst>
              </a:cu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sp macro="" textlink="">
          <xdr:nvSpPr>
            <xdr:cNvPr id="80" name="Oval 79"/>
            <xdr:cNvSpPr/>
          </xdr:nvSpPr>
          <xdr:spPr>
            <a:xfrm>
              <a:off x="2438400" y="6155532"/>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sp macro="" textlink="">
        <xdr:nvSpPr>
          <xdr:cNvPr id="58" name="TextBox 20"/>
          <xdr:cNvSpPr txBox="1"/>
        </xdr:nvSpPr>
        <xdr:spPr>
          <a:xfrm>
            <a:off x="123825" y="2631912"/>
            <a:ext cx="5783500" cy="138499"/>
          </a:xfrm>
          <a:prstGeom prst="rect">
            <a:avLst/>
          </a:prstGeom>
          <a:noFill/>
          <a:ln>
            <a:solidFill>
              <a:schemeClr val="tx1"/>
            </a:solidFill>
          </a:ln>
        </xdr:spPr>
        <xdr:txBody>
          <a:bodyPr wrap="square" lIns="0" tIns="0"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tabLst>
                <a:tab pos="457200" algn="ctr"/>
                <a:tab pos="914400" algn="ctr"/>
                <a:tab pos="1376363" algn="ctr"/>
                <a:tab pos="1828800" algn="ctr"/>
                <a:tab pos="2286000" algn="ctr"/>
                <a:tab pos="2743200" algn="ctr"/>
                <a:tab pos="3200400" algn="ctr"/>
                <a:tab pos="3657600" algn="ctr"/>
                <a:tab pos="4119563" algn="ctr"/>
                <a:tab pos="4572000" algn="ctr"/>
                <a:tab pos="5029200" algn="ctr"/>
                <a:tab pos="5486400" algn="ctr"/>
              </a:tabLst>
            </a:pPr>
            <a:r>
              <a:rPr lang="en-US" sz="900"/>
              <a:t> kWh/mile	0.6	0.8	1.0	1.2	1.4	1.6	1.8	2.0	2.2	2.4	2.6</a:t>
            </a:r>
          </a:p>
        </xdr:txBody>
      </xdr:sp>
      <xdr:grpSp>
        <xdr:nvGrpSpPr>
          <xdr:cNvPr id="59" name="Group 58"/>
          <xdr:cNvGrpSpPr>
            <a:grpSpLocks noChangeAspect="1"/>
          </xdr:cNvGrpSpPr>
        </xdr:nvGrpSpPr>
        <xdr:grpSpPr>
          <a:xfrm>
            <a:off x="1700754" y="2275789"/>
            <a:ext cx="638551" cy="326827"/>
            <a:chOff x="7848600" y="3883819"/>
            <a:chExt cx="869159" cy="435769"/>
          </a:xfrm>
        </xdr:grpSpPr>
        <xdr:sp macro="" textlink="">
          <xdr:nvSpPr>
            <xdr:cNvPr id="69" name="Oval 68"/>
            <xdr:cNvSpPr/>
          </xdr:nvSpPr>
          <xdr:spPr>
            <a:xfrm>
              <a:off x="7979569" y="4167188"/>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0" name="Oval 69"/>
            <xdr:cNvSpPr/>
          </xdr:nvSpPr>
          <xdr:spPr>
            <a:xfrm>
              <a:off x="8482016" y="4167188"/>
              <a:ext cx="152400" cy="152400"/>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1" name="Freeform 70"/>
            <xdr:cNvSpPr/>
          </xdr:nvSpPr>
          <xdr:spPr>
            <a:xfrm>
              <a:off x="7848600" y="3883819"/>
              <a:ext cx="869159" cy="366712"/>
            </a:xfrm>
            <a:custGeom>
              <a:avLst/>
              <a:gdLst>
                <a:gd name="connsiteX0" fmla="*/ 78582 w 788194"/>
                <a:gd name="connsiteY0" fmla="*/ 0 h 292894"/>
                <a:gd name="connsiteX1" fmla="*/ 633413 w 788194"/>
                <a:gd name="connsiteY1" fmla="*/ 4763 h 292894"/>
                <a:gd name="connsiteX2" fmla="*/ 757238 w 788194"/>
                <a:gd name="connsiteY2" fmla="*/ 138113 h 292894"/>
                <a:gd name="connsiteX3" fmla="*/ 754857 w 788194"/>
                <a:gd name="connsiteY3" fmla="*/ 245269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8194"/>
                <a:gd name="connsiteY0" fmla="*/ 0 h 292894"/>
                <a:gd name="connsiteX1" fmla="*/ 633413 w 788194"/>
                <a:gd name="connsiteY1" fmla="*/ 4763 h 292894"/>
                <a:gd name="connsiteX2" fmla="*/ 757238 w 788194"/>
                <a:gd name="connsiteY2" fmla="*/ 138113 h 292894"/>
                <a:gd name="connsiteX3" fmla="*/ 752476 w 788194"/>
                <a:gd name="connsiteY3" fmla="*/ 209550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5813"/>
                <a:gd name="connsiteY0" fmla="*/ 0 h 292894"/>
                <a:gd name="connsiteX1" fmla="*/ 633413 w 785813"/>
                <a:gd name="connsiteY1" fmla="*/ 4763 h 292894"/>
                <a:gd name="connsiteX2" fmla="*/ 757238 w 785813"/>
                <a:gd name="connsiteY2" fmla="*/ 138113 h 292894"/>
                <a:gd name="connsiteX3" fmla="*/ 752476 w 785813"/>
                <a:gd name="connsiteY3" fmla="*/ 209550 h 292894"/>
                <a:gd name="connsiteX4" fmla="*/ 785813 w 785813"/>
                <a:gd name="connsiteY4" fmla="*/ 219075 h 292894"/>
                <a:gd name="connsiteX5" fmla="*/ 785813 w 785813"/>
                <a:gd name="connsiteY5" fmla="*/ 292894 h 292894"/>
                <a:gd name="connsiteX6" fmla="*/ 0 w 785813"/>
                <a:gd name="connsiteY6" fmla="*/ 292894 h 292894"/>
                <a:gd name="connsiteX7" fmla="*/ 0 w 785813"/>
                <a:gd name="connsiteY7" fmla="*/ 252413 h 292894"/>
                <a:gd name="connsiteX8" fmla="*/ 26194 w 785813"/>
                <a:gd name="connsiteY8" fmla="*/ 250031 h 292894"/>
                <a:gd name="connsiteX9" fmla="*/ 21432 w 785813"/>
                <a:gd name="connsiteY9" fmla="*/ 130969 h 292894"/>
                <a:gd name="connsiteX10" fmla="*/ 78582 w 785813"/>
                <a:gd name="connsiteY10"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38113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11907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11907 w 785813"/>
                <a:gd name="connsiteY11" fmla="*/ 0 h 292894"/>
                <a:gd name="connsiteX0" fmla="*/ 19051 w 785813"/>
                <a:gd name="connsiteY0" fmla="*/ 0 h 364332"/>
                <a:gd name="connsiteX1" fmla="*/ 633413 w 785813"/>
                <a:gd name="connsiteY1" fmla="*/ 76201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628650 w 785813"/>
                <a:gd name="connsiteY1" fmla="*/ 2383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4761 h 369093"/>
                <a:gd name="connsiteX1" fmla="*/ 533922 w 785813"/>
                <a:gd name="connsiteY1" fmla="*/ 0 h 369093"/>
                <a:gd name="connsiteX2" fmla="*/ 685801 w 785813"/>
                <a:gd name="connsiteY2" fmla="*/ 207168 h 369093"/>
                <a:gd name="connsiteX3" fmla="*/ 757238 w 785813"/>
                <a:gd name="connsiteY3" fmla="*/ 223837 h 369093"/>
                <a:gd name="connsiteX4" fmla="*/ 762001 w 785813"/>
                <a:gd name="connsiteY4" fmla="*/ 285749 h 369093"/>
                <a:gd name="connsiteX5" fmla="*/ 785813 w 785813"/>
                <a:gd name="connsiteY5" fmla="*/ 295274 h 369093"/>
                <a:gd name="connsiteX6" fmla="*/ 785813 w 785813"/>
                <a:gd name="connsiteY6" fmla="*/ 369093 h 369093"/>
                <a:gd name="connsiteX7" fmla="*/ 0 w 785813"/>
                <a:gd name="connsiteY7" fmla="*/ 369093 h 369093"/>
                <a:gd name="connsiteX8" fmla="*/ 0 w 785813"/>
                <a:gd name="connsiteY8" fmla="*/ 328612 h 369093"/>
                <a:gd name="connsiteX9" fmla="*/ 26194 w 785813"/>
                <a:gd name="connsiteY9" fmla="*/ 326230 h 369093"/>
                <a:gd name="connsiteX10" fmla="*/ 21432 w 785813"/>
                <a:gd name="connsiteY10" fmla="*/ 207168 h 369093"/>
                <a:gd name="connsiteX11" fmla="*/ 19051 w 785813"/>
                <a:gd name="connsiteY11" fmla="*/ 4761 h 369093"/>
                <a:gd name="connsiteX0" fmla="*/ 19051 w 785813"/>
                <a:gd name="connsiteY0" fmla="*/ 4761 h 369093"/>
                <a:gd name="connsiteX1" fmla="*/ 533922 w 785813"/>
                <a:gd name="connsiteY1" fmla="*/ 0 h 369093"/>
                <a:gd name="connsiteX2" fmla="*/ 607120 w 785813"/>
                <a:gd name="connsiteY2" fmla="*/ 97631 h 369093"/>
                <a:gd name="connsiteX3" fmla="*/ 685801 w 785813"/>
                <a:gd name="connsiteY3" fmla="*/ 207168 h 369093"/>
                <a:gd name="connsiteX4" fmla="*/ 757238 w 785813"/>
                <a:gd name="connsiteY4" fmla="*/ 223837 h 369093"/>
                <a:gd name="connsiteX5" fmla="*/ 762001 w 785813"/>
                <a:gd name="connsiteY5" fmla="*/ 285749 h 369093"/>
                <a:gd name="connsiteX6" fmla="*/ 785813 w 785813"/>
                <a:gd name="connsiteY6" fmla="*/ 295274 h 369093"/>
                <a:gd name="connsiteX7" fmla="*/ 785813 w 785813"/>
                <a:gd name="connsiteY7" fmla="*/ 369093 h 369093"/>
                <a:gd name="connsiteX8" fmla="*/ 0 w 785813"/>
                <a:gd name="connsiteY8" fmla="*/ 369093 h 369093"/>
                <a:gd name="connsiteX9" fmla="*/ 0 w 785813"/>
                <a:gd name="connsiteY9" fmla="*/ 328612 h 369093"/>
                <a:gd name="connsiteX10" fmla="*/ 26194 w 785813"/>
                <a:gd name="connsiteY10" fmla="*/ 326230 h 369093"/>
                <a:gd name="connsiteX11" fmla="*/ 21432 w 785813"/>
                <a:gd name="connsiteY11" fmla="*/ 207168 h 369093"/>
                <a:gd name="connsiteX12" fmla="*/ 19051 w 785813"/>
                <a:gd name="connsiteY12" fmla="*/ 4761 h 369093"/>
                <a:gd name="connsiteX0" fmla="*/ 19051 w 785813"/>
                <a:gd name="connsiteY0" fmla="*/ 4761 h 369093"/>
                <a:gd name="connsiteX1" fmla="*/ 533922 w 785813"/>
                <a:gd name="connsiteY1" fmla="*/ 0 h 369093"/>
                <a:gd name="connsiteX2" fmla="*/ 607120 w 785813"/>
                <a:gd name="connsiteY2" fmla="*/ 97631 h 369093"/>
                <a:gd name="connsiteX3" fmla="*/ 685801 w 785813"/>
                <a:gd name="connsiteY3" fmla="*/ 207168 h 369093"/>
                <a:gd name="connsiteX4" fmla="*/ 757238 w 785813"/>
                <a:gd name="connsiteY4" fmla="*/ 223837 h 369093"/>
                <a:gd name="connsiteX5" fmla="*/ 762001 w 785813"/>
                <a:gd name="connsiteY5" fmla="*/ 285749 h 369093"/>
                <a:gd name="connsiteX6" fmla="*/ 785813 w 785813"/>
                <a:gd name="connsiteY6" fmla="*/ 295274 h 369093"/>
                <a:gd name="connsiteX7" fmla="*/ 785813 w 785813"/>
                <a:gd name="connsiteY7" fmla="*/ 369093 h 369093"/>
                <a:gd name="connsiteX8" fmla="*/ 0 w 785813"/>
                <a:gd name="connsiteY8" fmla="*/ 369093 h 369093"/>
                <a:gd name="connsiteX9" fmla="*/ 0 w 785813"/>
                <a:gd name="connsiteY9" fmla="*/ 328612 h 369093"/>
                <a:gd name="connsiteX10" fmla="*/ 26194 w 785813"/>
                <a:gd name="connsiteY10" fmla="*/ 326230 h 369093"/>
                <a:gd name="connsiteX11" fmla="*/ 21432 w 785813"/>
                <a:gd name="connsiteY11" fmla="*/ 207168 h 369093"/>
                <a:gd name="connsiteX12" fmla="*/ 19051 w 785813"/>
                <a:gd name="connsiteY12" fmla="*/ 4761 h 369093"/>
                <a:gd name="connsiteX0" fmla="*/ 19051 w 785813"/>
                <a:gd name="connsiteY0" fmla="*/ 4761 h 369093"/>
                <a:gd name="connsiteX1" fmla="*/ 533922 w 785813"/>
                <a:gd name="connsiteY1" fmla="*/ 0 h 369093"/>
                <a:gd name="connsiteX2" fmla="*/ 607120 w 785813"/>
                <a:gd name="connsiteY2" fmla="*/ 97631 h 369093"/>
                <a:gd name="connsiteX3" fmla="*/ 685801 w 785813"/>
                <a:gd name="connsiteY3" fmla="*/ 207168 h 369093"/>
                <a:gd name="connsiteX4" fmla="*/ 757238 w 785813"/>
                <a:gd name="connsiteY4" fmla="*/ 223837 h 369093"/>
                <a:gd name="connsiteX5" fmla="*/ 762001 w 785813"/>
                <a:gd name="connsiteY5" fmla="*/ 285749 h 369093"/>
                <a:gd name="connsiteX6" fmla="*/ 785813 w 785813"/>
                <a:gd name="connsiteY6" fmla="*/ 295274 h 369093"/>
                <a:gd name="connsiteX7" fmla="*/ 785813 w 785813"/>
                <a:gd name="connsiteY7" fmla="*/ 369093 h 369093"/>
                <a:gd name="connsiteX8" fmla="*/ 0 w 785813"/>
                <a:gd name="connsiteY8" fmla="*/ 369093 h 369093"/>
                <a:gd name="connsiteX9" fmla="*/ 0 w 785813"/>
                <a:gd name="connsiteY9" fmla="*/ 328612 h 369093"/>
                <a:gd name="connsiteX10" fmla="*/ 26194 w 785813"/>
                <a:gd name="connsiteY10" fmla="*/ 326230 h 369093"/>
                <a:gd name="connsiteX11" fmla="*/ 21432 w 785813"/>
                <a:gd name="connsiteY11" fmla="*/ 207168 h 369093"/>
                <a:gd name="connsiteX12" fmla="*/ 19051 w 785813"/>
                <a:gd name="connsiteY12" fmla="*/ 4761 h 369093"/>
                <a:gd name="connsiteX0" fmla="*/ 19051 w 785813"/>
                <a:gd name="connsiteY0" fmla="*/ 4761 h 369093"/>
                <a:gd name="connsiteX1" fmla="*/ 533922 w 785813"/>
                <a:gd name="connsiteY1" fmla="*/ 0 h 369093"/>
                <a:gd name="connsiteX2" fmla="*/ 579132 w 785813"/>
                <a:gd name="connsiteY2" fmla="*/ 97631 h 369093"/>
                <a:gd name="connsiteX3" fmla="*/ 685801 w 785813"/>
                <a:gd name="connsiteY3" fmla="*/ 207168 h 369093"/>
                <a:gd name="connsiteX4" fmla="*/ 757238 w 785813"/>
                <a:gd name="connsiteY4" fmla="*/ 223837 h 369093"/>
                <a:gd name="connsiteX5" fmla="*/ 762001 w 785813"/>
                <a:gd name="connsiteY5" fmla="*/ 285749 h 369093"/>
                <a:gd name="connsiteX6" fmla="*/ 785813 w 785813"/>
                <a:gd name="connsiteY6" fmla="*/ 295274 h 369093"/>
                <a:gd name="connsiteX7" fmla="*/ 785813 w 785813"/>
                <a:gd name="connsiteY7" fmla="*/ 369093 h 369093"/>
                <a:gd name="connsiteX8" fmla="*/ 0 w 785813"/>
                <a:gd name="connsiteY8" fmla="*/ 369093 h 369093"/>
                <a:gd name="connsiteX9" fmla="*/ 0 w 785813"/>
                <a:gd name="connsiteY9" fmla="*/ 328612 h 369093"/>
                <a:gd name="connsiteX10" fmla="*/ 26194 w 785813"/>
                <a:gd name="connsiteY10" fmla="*/ 326230 h 369093"/>
                <a:gd name="connsiteX11" fmla="*/ 21432 w 785813"/>
                <a:gd name="connsiteY11" fmla="*/ 207168 h 369093"/>
                <a:gd name="connsiteX12" fmla="*/ 19051 w 785813"/>
                <a:gd name="connsiteY12" fmla="*/ 4761 h 369093"/>
                <a:gd name="connsiteX0" fmla="*/ 19051 w 785813"/>
                <a:gd name="connsiteY0" fmla="*/ 9524 h 373856"/>
                <a:gd name="connsiteX1" fmla="*/ 465029 w 785813"/>
                <a:gd name="connsiteY1" fmla="*/ 0 h 373856"/>
                <a:gd name="connsiteX2" fmla="*/ 579132 w 785813"/>
                <a:gd name="connsiteY2" fmla="*/ 102394 h 373856"/>
                <a:gd name="connsiteX3" fmla="*/ 685801 w 785813"/>
                <a:gd name="connsiteY3" fmla="*/ 211931 h 373856"/>
                <a:gd name="connsiteX4" fmla="*/ 757238 w 785813"/>
                <a:gd name="connsiteY4" fmla="*/ 228600 h 373856"/>
                <a:gd name="connsiteX5" fmla="*/ 762001 w 785813"/>
                <a:gd name="connsiteY5" fmla="*/ 290512 h 373856"/>
                <a:gd name="connsiteX6" fmla="*/ 785813 w 785813"/>
                <a:gd name="connsiteY6" fmla="*/ 300037 h 373856"/>
                <a:gd name="connsiteX7" fmla="*/ 785813 w 785813"/>
                <a:gd name="connsiteY7" fmla="*/ 373856 h 373856"/>
                <a:gd name="connsiteX8" fmla="*/ 0 w 785813"/>
                <a:gd name="connsiteY8" fmla="*/ 373856 h 373856"/>
                <a:gd name="connsiteX9" fmla="*/ 0 w 785813"/>
                <a:gd name="connsiteY9" fmla="*/ 333375 h 373856"/>
                <a:gd name="connsiteX10" fmla="*/ 26194 w 785813"/>
                <a:gd name="connsiteY10" fmla="*/ 330993 h 373856"/>
                <a:gd name="connsiteX11" fmla="*/ 21432 w 785813"/>
                <a:gd name="connsiteY11" fmla="*/ 211931 h 373856"/>
                <a:gd name="connsiteX12" fmla="*/ 19051 w 785813"/>
                <a:gd name="connsiteY12" fmla="*/ 9524 h 373856"/>
                <a:gd name="connsiteX0" fmla="*/ 19051 w 785813"/>
                <a:gd name="connsiteY0" fmla="*/ 11905 h 376237"/>
                <a:gd name="connsiteX1" fmla="*/ 497322 w 785813"/>
                <a:gd name="connsiteY1" fmla="*/ 0 h 376237"/>
                <a:gd name="connsiteX2" fmla="*/ 579132 w 785813"/>
                <a:gd name="connsiteY2" fmla="*/ 104775 h 376237"/>
                <a:gd name="connsiteX3" fmla="*/ 685801 w 785813"/>
                <a:gd name="connsiteY3" fmla="*/ 214312 h 376237"/>
                <a:gd name="connsiteX4" fmla="*/ 757238 w 785813"/>
                <a:gd name="connsiteY4" fmla="*/ 230981 h 376237"/>
                <a:gd name="connsiteX5" fmla="*/ 762001 w 785813"/>
                <a:gd name="connsiteY5" fmla="*/ 292893 h 376237"/>
                <a:gd name="connsiteX6" fmla="*/ 785813 w 785813"/>
                <a:gd name="connsiteY6" fmla="*/ 302418 h 376237"/>
                <a:gd name="connsiteX7" fmla="*/ 785813 w 785813"/>
                <a:gd name="connsiteY7" fmla="*/ 376237 h 376237"/>
                <a:gd name="connsiteX8" fmla="*/ 0 w 785813"/>
                <a:gd name="connsiteY8" fmla="*/ 376237 h 376237"/>
                <a:gd name="connsiteX9" fmla="*/ 0 w 785813"/>
                <a:gd name="connsiteY9" fmla="*/ 335756 h 376237"/>
                <a:gd name="connsiteX10" fmla="*/ 26194 w 785813"/>
                <a:gd name="connsiteY10" fmla="*/ 333374 h 376237"/>
                <a:gd name="connsiteX11" fmla="*/ 21432 w 785813"/>
                <a:gd name="connsiteY11" fmla="*/ 214312 h 376237"/>
                <a:gd name="connsiteX12" fmla="*/ 19051 w 785813"/>
                <a:gd name="connsiteY12" fmla="*/ 11905 h 376237"/>
                <a:gd name="connsiteX0" fmla="*/ 19051 w 785813"/>
                <a:gd name="connsiteY0" fmla="*/ 2380 h 366712"/>
                <a:gd name="connsiteX1" fmla="*/ 499475 w 785813"/>
                <a:gd name="connsiteY1" fmla="*/ 0 h 366712"/>
                <a:gd name="connsiteX2" fmla="*/ 579132 w 785813"/>
                <a:gd name="connsiteY2" fmla="*/ 95250 h 366712"/>
                <a:gd name="connsiteX3" fmla="*/ 685801 w 785813"/>
                <a:gd name="connsiteY3" fmla="*/ 204787 h 366712"/>
                <a:gd name="connsiteX4" fmla="*/ 757238 w 785813"/>
                <a:gd name="connsiteY4" fmla="*/ 221456 h 366712"/>
                <a:gd name="connsiteX5" fmla="*/ 762001 w 785813"/>
                <a:gd name="connsiteY5" fmla="*/ 283368 h 366712"/>
                <a:gd name="connsiteX6" fmla="*/ 785813 w 785813"/>
                <a:gd name="connsiteY6" fmla="*/ 292893 h 366712"/>
                <a:gd name="connsiteX7" fmla="*/ 785813 w 785813"/>
                <a:gd name="connsiteY7" fmla="*/ 366712 h 366712"/>
                <a:gd name="connsiteX8" fmla="*/ 0 w 785813"/>
                <a:gd name="connsiteY8" fmla="*/ 366712 h 366712"/>
                <a:gd name="connsiteX9" fmla="*/ 0 w 785813"/>
                <a:gd name="connsiteY9" fmla="*/ 326231 h 366712"/>
                <a:gd name="connsiteX10" fmla="*/ 26194 w 785813"/>
                <a:gd name="connsiteY10" fmla="*/ 323849 h 366712"/>
                <a:gd name="connsiteX11" fmla="*/ 21432 w 785813"/>
                <a:gd name="connsiteY11" fmla="*/ 204787 h 366712"/>
                <a:gd name="connsiteX12" fmla="*/ 19051 w 785813"/>
                <a:gd name="connsiteY12" fmla="*/ 2380 h 3667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785813" h="366712">
                  <a:moveTo>
                    <a:pt x="19051" y="2380"/>
                  </a:moveTo>
                  <a:lnTo>
                    <a:pt x="499475" y="0"/>
                  </a:lnTo>
                  <a:cubicBezTo>
                    <a:pt x="597128" y="15478"/>
                    <a:pt x="553819" y="60722"/>
                    <a:pt x="579132" y="95250"/>
                  </a:cubicBezTo>
                  <a:cubicBezTo>
                    <a:pt x="658268" y="91678"/>
                    <a:pt x="660422" y="183753"/>
                    <a:pt x="685801" y="204787"/>
                  </a:cubicBezTo>
                  <a:lnTo>
                    <a:pt x="757238" y="221456"/>
                  </a:lnTo>
                  <a:cubicBezTo>
                    <a:pt x="756444" y="257175"/>
                    <a:pt x="762795" y="247649"/>
                    <a:pt x="762001" y="283368"/>
                  </a:cubicBezTo>
                  <a:lnTo>
                    <a:pt x="785813" y="292893"/>
                  </a:lnTo>
                  <a:lnTo>
                    <a:pt x="785813" y="366712"/>
                  </a:lnTo>
                  <a:lnTo>
                    <a:pt x="0" y="366712"/>
                  </a:lnTo>
                  <a:lnTo>
                    <a:pt x="0" y="326231"/>
                  </a:lnTo>
                  <a:lnTo>
                    <a:pt x="26194" y="323849"/>
                  </a:lnTo>
                  <a:lnTo>
                    <a:pt x="21432" y="204787"/>
                  </a:lnTo>
                  <a:cubicBezTo>
                    <a:pt x="20638" y="137318"/>
                    <a:pt x="19845" y="69849"/>
                    <a:pt x="19051" y="2380"/>
                  </a:cubicBez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2" name="Freeform 71"/>
            <xdr:cNvSpPr/>
          </xdr:nvSpPr>
          <xdr:spPr>
            <a:xfrm>
              <a:off x="8498651" y="4001691"/>
              <a:ext cx="81917" cy="75004"/>
            </a:xfrm>
            <a:custGeom>
              <a:avLst/>
              <a:gdLst>
                <a:gd name="connsiteX0" fmla="*/ 64294 w 147638"/>
                <a:gd name="connsiteY0" fmla="*/ 0 h 102393"/>
                <a:gd name="connsiteX1" fmla="*/ 147638 w 147638"/>
                <a:gd name="connsiteY1" fmla="*/ 102393 h 102393"/>
                <a:gd name="connsiteX2" fmla="*/ 0 w 147638"/>
                <a:gd name="connsiteY2" fmla="*/ 97631 h 102393"/>
                <a:gd name="connsiteX3" fmla="*/ 0 w 147638"/>
                <a:gd name="connsiteY3" fmla="*/ 2381 h 102393"/>
                <a:gd name="connsiteX4" fmla="*/ 64294 w 147638"/>
                <a:gd name="connsiteY4" fmla="*/ 0 h 102393"/>
                <a:gd name="connsiteX0" fmla="*/ 64294 w 147638"/>
                <a:gd name="connsiteY0" fmla="*/ 0 h 104775"/>
                <a:gd name="connsiteX1" fmla="*/ 147638 w 147638"/>
                <a:gd name="connsiteY1" fmla="*/ 102393 h 104775"/>
                <a:gd name="connsiteX2" fmla="*/ 2382 w 147638"/>
                <a:gd name="connsiteY2" fmla="*/ 104775 h 104775"/>
                <a:gd name="connsiteX3" fmla="*/ 0 w 147638"/>
                <a:gd name="connsiteY3" fmla="*/ 2381 h 104775"/>
                <a:gd name="connsiteX4" fmla="*/ 64294 w 147638"/>
                <a:gd name="connsiteY4" fmla="*/ 0 h 104775"/>
                <a:gd name="connsiteX0" fmla="*/ 64294 w 157163"/>
                <a:gd name="connsiteY0" fmla="*/ 0 h 104775"/>
                <a:gd name="connsiteX1" fmla="*/ 157163 w 157163"/>
                <a:gd name="connsiteY1" fmla="*/ 102393 h 104775"/>
                <a:gd name="connsiteX2" fmla="*/ 2382 w 157163"/>
                <a:gd name="connsiteY2" fmla="*/ 104775 h 104775"/>
                <a:gd name="connsiteX3" fmla="*/ 0 w 157163"/>
                <a:gd name="connsiteY3" fmla="*/ 2381 h 104775"/>
                <a:gd name="connsiteX4" fmla="*/ 64294 w 157163"/>
                <a:gd name="connsiteY4" fmla="*/ 0 h 104775"/>
                <a:gd name="connsiteX0" fmla="*/ 66674 w 159543"/>
                <a:gd name="connsiteY0" fmla="*/ 0 h 102393"/>
                <a:gd name="connsiteX1" fmla="*/ 159543 w 159543"/>
                <a:gd name="connsiteY1" fmla="*/ 102393 h 102393"/>
                <a:gd name="connsiteX2" fmla="*/ 0 w 159543"/>
                <a:gd name="connsiteY2" fmla="*/ 80962 h 102393"/>
                <a:gd name="connsiteX3" fmla="*/ 2380 w 159543"/>
                <a:gd name="connsiteY3" fmla="*/ 2381 h 102393"/>
                <a:gd name="connsiteX4" fmla="*/ 66674 w 159543"/>
                <a:gd name="connsiteY4" fmla="*/ 0 h 102393"/>
                <a:gd name="connsiteX0" fmla="*/ 66674 w 142874"/>
                <a:gd name="connsiteY0" fmla="*/ 0 h 88105"/>
                <a:gd name="connsiteX1" fmla="*/ 142874 w 142874"/>
                <a:gd name="connsiteY1" fmla="*/ 88105 h 88105"/>
                <a:gd name="connsiteX2" fmla="*/ 0 w 142874"/>
                <a:gd name="connsiteY2" fmla="*/ 80962 h 88105"/>
                <a:gd name="connsiteX3" fmla="*/ 2380 w 142874"/>
                <a:gd name="connsiteY3" fmla="*/ 2381 h 88105"/>
                <a:gd name="connsiteX4" fmla="*/ 66674 w 142874"/>
                <a:gd name="connsiteY4" fmla="*/ 0 h 88105"/>
                <a:gd name="connsiteX0" fmla="*/ 66674 w 145256"/>
                <a:gd name="connsiteY0" fmla="*/ 0 h 80962"/>
                <a:gd name="connsiteX1" fmla="*/ 145256 w 145256"/>
                <a:gd name="connsiteY1" fmla="*/ 80961 h 80962"/>
                <a:gd name="connsiteX2" fmla="*/ 0 w 145256"/>
                <a:gd name="connsiteY2" fmla="*/ 80962 h 80962"/>
                <a:gd name="connsiteX3" fmla="*/ 2380 w 145256"/>
                <a:gd name="connsiteY3" fmla="*/ 2381 h 80962"/>
                <a:gd name="connsiteX4" fmla="*/ 66674 w 145256"/>
                <a:gd name="connsiteY4" fmla="*/ 0 h 80962"/>
                <a:gd name="connsiteX0" fmla="*/ 66674 w 85725"/>
                <a:gd name="connsiteY0" fmla="*/ 0 h 88105"/>
                <a:gd name="connsiteX1" fmla="*/ 85725 w 85725"/>
                <a:gd name="connsiteY1" fmla="*/ 88105 h 88105"/>
                <a:gd name="connsiteX2" fmla="*/ 0 w 85725"/>
                <a:gd name="connsiteY2" fmla="*/ 80962 h 88105"/>
                <a:gd name="connsiteX3" fmla="*/ 2380 w 85725"/>
                <a:gd name="connsiteY3" fmla="*/ 2381 h 88105"/>
                <a:gd name="connsiteX4" fmla="*/ 66674 w 85725"/>
                <a:gd name="connsiteY4" fmla="*/ 0 h 88105"/>
                <a:gd name="connsiteX0" fmla="*/ 66674 w 92869"/>
                <a:gd name="connsiteY0" fmla="*/ 0 h 88105"/>
                <a:gd name="connsiteX1" fmla="*/ 92869 w 92869"/>
                <a:gd name="connsiteY1" fmla="*/ 88105 h 88105"/>
                <a:gd name="connsiteX2" fmla="*/ 0 w 92869"/>
                <a:gd name="connsiteY2" fmla="*/ 80962 h 88105"/>
                <a:gd name="connsiteX3" fmla="*/ 2380 w 92869"/>
                <a:gd name="connsiteY3" fmla="*/ 2381 h 88105"/>
                <a:gd name="connsiteX4" fmla="*/ 66674 w 92869"/>
                <a:gd name="connsiteY4" fmla="*/ 0 h 88105"/>
                <a:gd name="connsiteX0" fmla="*/ 66674 w 90487"/>
                <a:gd name="connsiteY0" fmla="*/ 0 h 80962"/>
                <a:gd name="connsiteX1" fmla="*/ 90487 w 90487"/>
                <a:gd name="connsiteY1" fmla="*/ 78580 h 80962"/>
                <a:gd name="connsiteX2" fmla="*/ 0 w 90487"/>
                <a:gd name="connsiteY2" fmla="*/ 80962 h 80962"/>
                <a:gd name="connsiteX3" fmla="*/ 2380 w 90487"/>
                <a:gd name="connsiteY3" fmla="*/ 2381 h 80962"/>
                <a:gd name="connsiteX4" fmla="*/ 66674 w 90487"/>
                <a:gd name="connsiteY4" fmla="*/ 0 h 80962"/>
                <a:gd name="connsiteX0" fmla="*/ 66904 w 90717"/>
                <a:gd name="connsiteY0" fmla="*/ 0 h 80962"/>
                <a:gd name="connsiteX1" fmla="*/ 90717 w 90717"/>
                <a:gd name="connsiteY1" fmla="*/ 78580 h 80962"/>
                <a:gd name="connsiteX2" fmla="*/ 230 w 90717"/>
                <a:gd name="connsiteY2" fmla="*/ 80962 h 80962"/>
                <a:gd name="connsiteX3" fmla="*/ 228 w 90717"/>
                <a:gd name="connsiteY3" fmla="*/ 0 h 80962"/>
                <a:gd name="connsiteX4" fmla="*/ 66904 w 90717"/>
                <a:gd name="connsiteY4" fmla="*/ 0 h 80962"/>
                <a:gd name="connsiteX0" fmla="*/ 66904 w 109767"/>
                <a:gd name="connsiteY0" fmla="*/ 0 h 126205"/>
                <a:gd name="connsiteX1" fmla="*/ 109767 w 109767"/>
                <a:gd name="connsiteY1" fmla="*/ 126205 h 126205"/>
                <a:gd name="connsiteX2" fmla="*/ 230 w 109767"/>
                <a:gd name="connsiteY2" fmla="*/ 80962 h 126205"/>
                <a:gd name="connsiteX3" fmla="*/ 228 w 109767"/>
                <a:gd name="connsiteY3" fmla="*/ 0 h 126205"/>
                <a:gd name="connsiteX4" fmla="*/ 66904 w 109767"/>
                <a:gd name="connsiteY4" fmla="*/ 0 h 126205"/>
                <a:gd name="connsiteX0" fmla="*/ 66904 w 109767"/>
                <a:gd name="connsiteY0" fmla="*/ 0 h 126205"/>
                <a:gd name="connsiteX1" fmla="*/ 109767 w 109767"/>
                <a:gd name="connsiteY1" fmla="*/ 126205 h 126205"/>
                <a:gd name="connsiteX2" fmla="*/ 230 w 109767"/>
                <a:gd name="connsiteY2" fmla="*/ 116681 h 126205"/>
                <a:gd name="connsiteX3" fmla="*/ 228 w 109767"/>
                <a:gd name="connsiteY3" fmla="*/ 0 h 126205"/>
                <a:gd name="connsiteX4" fmla="*/ 66904 w 109767"/>
                <a:gd name="connsiteY4" fmla="*/ 0 h 126205"/>
                <a:gd name="connsiteX0" fmla="*/ 66904 w 109767"/>
                <a:gd name="connsiteY0" fmla="*/ 0 h 133350"/>
                <a:gd name="connsiteX1" fmla="*/ 109767 w 109767"/>
                <a:gd name="connsiteY1" fmla="*/ 126205 h 133350"/>
                <a:gd name="connsiteX2" fmla="*/ 230 w 109767"/>
                <a:gd name="connsiteY2" fmla="*/ 133350 h 133350"/>
                <a:gd name="connsiteX3" fmla="*/ 228 w 109767"/>
                <a:gd name="connsiteY3" fmla="*/ 0 h 133350"/>
                <a:gd name="connsiteX4" fmla="*/ 66904 w 109767"/>
                <a:gd name="connsiteY4" fmla="*/ 0 h 133350"/>
                <a:gd name="connsiteX0" fmla="*/ 66904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66904 w 109767"/>
                <a:gd name="connsiteY4" fmla="*/ 0 h 126206"/>
                <a:gd name="connsiteX0" fmla="*/ 74047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74047 w 109767"/>
                <a:gd name="connsiteY4" fmla="*/ 0 h 126206"/>
                <a:gd name="connsiteX0" fmla="*/ 74047 w 100242"/>
                <a:gd name="connsiteY0" fmla="*/ 0 h 126206"/>
                <a:gd name="connsiteX1" fmla="*/ 100242 w 100242"/>
                <a:gd name="connsiteY1" fmla="*/ 126205 h 126206"/>
                <a:gd name="connsiteX2" fmla="*/ 230 w 100242"/>
                <a:gd name="connsiteY2" fmla="*/ 126206 h 126206"/>
                <a:gd name="connsiteX3" fmla="*/ 228 w 100242"/>
                <a:gd name="connsiteY3" fmla="*/ 0 h 126206"/>
                <a:gd name="connsiteX4" fmla="*/ 74047 w 100242"/>
                <a:gd name="connsiteY4" fmla="*/ 0 h 126206"/>
                <a:gd name="connsiteX0" fmla="*/ 73837 w 100032"/>
                <a:gd name="connsiteY0" fmla="*/ 0 h 126206"/>
                <a:gd name="connsiteX1" fmla="*/ 100032 w 100032"/>
                <a:gd name="connsiteY1" fmla="*/ 126205 h 126206"/>
                <a:gd name="connsiteX2" fmla="*/ 25430 w 100032"/>
                <a:gd name="connsiteY2" fmla="*/ 126206 h 126206"/>
                <a:gd name="connsiteX3" fmla="*/ 18 w 100032"/>
                <a:gd name="connsiteY3" fmla="*/ 0 h 126206"/>
                <a:gd name="connsiteX4" fmla="*/ 73837 w 100032"/>
                <a:gd name="connsiteY4" fmla="*/ 0 h 126206"/>
                <a:gd name="connsiteX0" fmla="*/ 53557 w 79752"/>
                <a:gd name="connsiteY0" fmla="*/ 0 h 126206"/>
                <a:gd name="connsiteX1" fmla="*/ 79752 w 79752"/>
                <a:gd name="connsiteY1" fmla="*/ 126205 h 126206"/>
                <a:gd name="connsiteX2" fmla="*/ 5150 w 79752"/>
                <a:gd name="connsiteY2" fmla="*/ 126206 h 126206"/>
                <a:gd name="connsiteX3" fmla="*/ 66 w 79752"/>
                <a:gd name="connsiteY3" fmla="*/ 0 h 126206"/>
                <a:gd name="connsiteX4" fmla="*/ 53557 w 79752"/>
                <a:gd name="connsiteY4" fmla="*/ 0 h 126206"/>
                <a:gd name="connsiteX0" fmla="*/ 53557 w 107703"/>
                <a:gd name="connsiteY0" fmla="*/ 0 h 126206"/>
                <a:gd name="connsiteX1" fmla="*/ 107703 w 107703"/>
                <a:gd name="connsiteY1" fmla="*/ 126204 h 126206"/>
                <a:gd name="connsiteX2" fmla="*/ 5150 w 107703"/>
                <a:gd name="connsiteY2" fmla="*/ 126206 h 126206"/>
                <a:gd name="connsiteX3" fmla="*/ 66 w 107703"/>
                <a:gd name="connsiteY3" fmla="*/ 0 h 126206"/>
                <a:gd name="connsiteX4" fmla="*/ 53557 w 107703"/>
                <a:gd name="connsiteY4" fmla="*/ 0 h 126206"/>
                <a:gd name="connsiteX0" fmla="*/ 76425 w 107703"/>
                <a:gd name="connsiteY0" fmla="*/ 4138 h 126206"/>
                <a:gd name="connsiteX1" fmla="*/ 107703 w 107703"/>
                <a:gd name="connsiteY1" fmla="*/ 126204 h 126206"/>
                <a:gd name="connsiteX2" fmla="*/ 5150 w 107703"/>
                <a:gd name="connsiteY2" fmla="*/ 126206 h 126206"/>
                <a:gd name="connsiteX3" fmla="*/ 66 w 107703"/>
                <a:gd name="connsiteY3" fmla="*/ 0 h 126206"/>
                <a:gd name="connsiteX4" fmla="*/ 76425 w 107703"/>
                <a:gd name="connsiteY4" fmla="*/ 4138 h 126206"/>
                <a:gd name="connsiteX0" fmla="*/ 76378 w 107656"/>
                <a:gd name="connsiteY0" fmla="*/ 4138 h 126204"/>
                <a:gd name="connsiteX1" fmla="*/ 107656 w 107656"/>
                <a:gd name="connsiteY1" fmla="*/ 126204 h 126204"/>
                <a:gd name="connsiteX2" fmla="*/ 22890 w 107656"/>
                <a:gd name="connsiteY2" fmla="*/ 122068 h 126204"/>
                <a:gd name="connsiteX3" fmla="*/ 19 w 107656"/>
                <a:gd name="connsiteY3" fmla="*/ 0 h 126204"/>
                <a:gd name="connsiteX4" fmla="*/ 76378 w 107656"/>
                <a:gd name="connsiteY4" fmla="*/ 4138 h 126204"/>
                <a:gd name="connsiteX0" fmla="*/ 56133 w 87411"/>
                <a:gd name="connsiteY0" fmla="*/ 8276 h 130342"/>
                <a:gd name="connsiteX1" fmla="*/ 87411 w 87411"/>
                <a:gd name="connsiteY1" fmla="*/ 130342 h 130342"/>
                <a:gd name="connsiteX2" fmla="*/ 2645 w 87411"/>
                <a:gd name="connsiteY2" fmla="*/ 126206 h 130342"/>
                <a:gd name="connsiteX3" fmla="*/ 102 w 87411"/>
                <a:gd name="connsiteY3" fmla="*/ 0 h 130342"/>
                <a:gd name="connsiteX4" fmla="*/ 56133 w 87411"/>
                <a:gd name="connsiteY4" fmla="*/ 8276 h 13034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411" h="130342">
                  <a:moveTo>
                    <a:pt x="56133" y="8276"/>
                  </a:moveTo>
                  <a:lnTo>
                    <a:pt x="87411" y="130342"/>
                  </a:lnTo>
                  <a:lnTo>
                    <a:pt x="2645" y="126206"/>
                  </a:lnTo>
                  <a:cubicBezTo>
                    <a:pt x="3438" y="100012"/>
                    <a:pt x="-691" y="26194"/>
                    <a:pt x="102" y="0"/>
                  </a:cubicBezTo>
                  <a:lnTo>
                    <a:pt x="56133" y="8276"/>
                  </a:lnTo>
                  <a:close/>
                </a:path>
              </a:pathLst>
            </a:cu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3" name="Rectangle 72"/>
            <xdr:cNvSpPr/>
          </xdr:nvSpPr>
          <xdr:spPr>
            <a:xfrm>
              <a:off x="8299609" y="3919532"/>
              <a:ext cx="45719" cy="31432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4" name="Rectangle 73"/>
            <xdr:cNvSpPr/>
          </xdr:nvSpPr>
          <xdr:spPr>
            <a:xfrm>
              <a:off x="8229600" y="3919532"/>
              <a:ext cx="45719" cy="31432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5" name="Rounded Rectangle 74"/>
            <xdr:cNvSpPr/>
          </xdr:nvSpPr>
          <xdr:spPr>
            <a:xfrm>
              <a:off x="7886700" y="3927269"/>
              <a:ext cx="80965"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6" name="Rounded Rectangle 75"/>
            <xdr:cNvSpPr/>
          </xdr:nvSpPr>
          <xdr:spPr>
            <a:xfrm>
              <a:off x="8005771" y="3927269"/>
              <a:ext cx="80965"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7" name="Rounded Rectangle 76"/>
            <xdr:cNvSpPr/>
          </xdr:nvSpPr>
          <xdr:spPr>
            <a:xfrm>
              <a:off x="8120069" y="3929127"/>
              <a:ext cx="80965"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8" name="Rounded Rectangle 77"/>
            <xdr:cNvSpPr/>
          </xdr:nvSpPr>
          <xdr:spPr>
            <a:xfrm>
              <a:off x="8377235" y="3932629"/>
              <a:ext cx="80965" cy="121444"/>
            </a:xfrm>
            <a:prstGeom prst="round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60" name="Group 59"/>
          <xdr:cNvGrpSpPr>
            <a:grpSpLocks noChangeAspect="1"/>
          </xdr:cNvGrpSpPr>
        </xdr:nvGrpSpPr>
        <xdr:grpSpPr>
          <a:xfrm>
            <a:off x="4997014" y="2858771"/>
            <a:ext cx="900223" cy="442190"/>
            <a:chOff x="7569991" y="1778419"/>
            <a:chExt cx="1225086" cy="589589"/>
          </a:xfrm>
        </xdr:grpSpPr>
        <xdr:sp macro="" textlink="">
          <xdr:nvSpPr>
            <xdr:cNvPr id="61" name="Oval 60"/>
            <xdr:cNvSpPr/>
          </xdr:nvSpPr>
          <xdr:spPr>
            <a:xfrm>
              <a:off x="8026557" y="2211238"/>
              <a:ext cx="152019" cy="15201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62" name="Oval 61"/>
            <xdr:cNvSpPr/>
          </xdr:nvSpPr>
          <xdr:spPr>
            <a:xfrm>
              <a:off x="8565750" y="2208863"/>
              <a:ext cx="152019" cy="15201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63" name="Freeform 62"/>
            <xdr:cNvSpPr/>
          </xdr:nvSpPr>
          <xdr:spPr>
            <a:xfrm>
              <a:off x="7569991" y="1778419"/>
              <a:ext cx="1225086" cy="511210"/>
            </a:xfrm>
            <a:custGeom>
              <a:avLst/>
              <a:gdLst>
                <a:gd name="connsiteX0" fmla="*/ 78582 w 788194"/>
                <a:gd name="connsiteY0" fmla="*/ 0 h 292894"/>
                <a:gd name="connsiteX1" fmla="*/ 633413 w 788194"/>
                <a:gd name="connsiteY1" fmla="*/ 4763 h 292894"/>
                <a:gd name="connsiteX2" fmla="*/ 757238 w 788194"/>
                <a:gd name="connsiteY2" fmla="*/ 138113 h 292894"/>
                <a:gd name="connsiteX3" fmla="*/ 754857 w 788194"/>
                <a:gd name="connsiteY3" fmla="*/ 245269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8194"/>
                <a:gd name="connsiteY0" fmla="*/ 0 h 292894"/>
                <a:gd name="connsiteX1" fmla="*/ 633413 w 788194"/>
                <a:gd name="connsiteY1" fmla="*/ 4763 h 292894"/>
                <a:gd name="connsiteX2" fmla="*/ 757238 w 788194"/>
                <a:gd name="connsiteY2" fmla="*/ 138113 h 292894"/>
                <a:gd name="connsiteX3" fmla="*/ 752476 w 788194"/>
                <a:gd name="connsiteY3" fmla="*/ 209550 h 292894"/>
                <a:gd name="connsiteX4" fmla="*/ 788194 w 788194"/>
                <a:gd name="connsiteY4" fmla="*/ 247650 h 292894"/>
                <a:gd name="connsiteX5" fmla="*/ 785813 w 788194"/>
                <a:gd name="connsiteY5" fmla="*/ 292894 h 292894"/>
                <a:gd name="connsiteX6" fmla="*/ 0 w 788194"/>
                <a:gd name="connsiteY6" fmla="*/ 292894 h 292894"/>
                <a:gd name="connsiteX7" fmla="*/ 0 w 788194"/>
                <a:gd name="connsiteY7" fmla="*/ 252413 h 292894"/>
                <a:gd name="connsiteX8" fmla="*/ 26194 w 788194"/>
                <a:gd name="connsiteY8" fmla="*/ 250031 h 292894"/>
                <a:gd name="connsiteX9" fmla="*/ 21432 w 788194"/>
                <a:gd name="connsiteY9" fmla="*/ 130969 h 292894"/>
                <a:gd name="connsiteX10" fmla="*/ 78582 w 788194"/>
                <a:gd name="connsiteY10" fmla="*/ 0 h 292894"/>
                <a:gd name="connsiteX0" fmla="*/ 78582 w 785813"/>
                <a:gd name="connsiteY0" fmla="*/ 0 h 292894"/>
                <a:gd name="connsiteX1" fmla="*/ 633413 w 785813"/>
                <a:gd name="connsiteY1" fmla="*/ 4763 h 292894"/>
                <a:gd name="connsiteX2" fmla="*/ 757238 w 785813"/>
                <a:gd name="connsiteY2" fmla="*/ 138113 h 292894"/>
                <a:gd name="connsiteX3" fmla="*/ 752476 w 785813"/>
                <a:gd name="connsiteY3" fmla="*/ 209550 h 292894"/>
                <a:gd name="connsiteX4" fmla="*/ 785813 w 785813"/>
                <a:gd name="connsiteY4" fmla="*/ 219075 h 292894"/>
                <a:gd name="connsiteX5" fmla="*/ 785813 w 785813"/>
                <a:gd name="connsiteY5" fmla="*/ 292894 h 292894"/>
                <a:gd name="connsiteX6" fmla="*/ 0 w 785813"/>
                <a:gd name="connsiteY6" fmla="*/ 292894 h 292894"/>
                <a:gd name="connsiteX7" fmla="*/ 0 w 785813"/>
                <a:gd name="connsiteY7" fmla="*/ 252413 h 292894"/>
                <a:gd name="connsiteX8" fmla="*/ 26194 w 785813"/>
                <a:gd name="connsiteY8" fmla="*/ 250031 h 292894"/>
                <a:gd name="connsiteX9" fmla="*/ 21432 w 785813"/>
                <a:gd name="connsiteY9" fmla="*/ 130969 h 292894"/>
                <a:gd name="connsiteX10" fmla="*/ 78582 w 785813"/>
                <a:gd name="connsiteY10"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38113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52476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78582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78582 w 785813"/>
                <a:gd name="connsiteY11" fmla="*/ 0 h 292894"/>
                <a:gd name="connsiteX0" fmla="*/ 11907 w 785813"/>
                <a:gd name="connsiteY0" fmla="*/ 0 h 292894"/>
                <a:gd name="connsiteX1" fmla="*/ 633413 w 785813"/>
                <a:gd name="connsiteY1" fmla="*/ 4763 h 292894"/>
                <a:gd name="connsiteX2" fmla="*/ 685801 w 785813"/>
                <a:gd name="connsiteY2" fmla="*/ 130969 h 292894"/>
                <a:gd name="connsiteX3" fmla="*/ 757238 w 785813"/>
                <a:gd name="connsiteY3" fmla="*/ 147638 h 292894"/>
                <a:gd name="connsiteX4" fmla="*/ 762001 w 785813"/>
                <a:gd name="connsiteY4" fmla="*/ 209550 h 292894"/>
                <a:gd name="connsiteX5" fmla="*/ 785813 w 785813"/>
                <a:gd name="connsiteY5" fmla="*/ 219075 h 292894"/>
                <a:gd name="connsiteX6" fmla="*/ 785813 w 785813"/>
                <a:gd name="connsiteY6" fmla="*/ 292894 h 292894"/>
                <a:gd name="connsiteX7" fmla="*/ 0 w 785813"/>
                <a:gd name="connsiteY7" fmla="*/ 292894 h 292894"/>
                <a:gd name="connsiteX8" fmla="*/ 0 w 785813"/>
                <a:gd name="connsiteY8" fmla="*/ 252413 h 292894"/>
                <a:gd name="connsiteX9" fmla="*/ 26194 w 785813"/>
                <a:gd name="connsiteY9" fmla="*/ 250031 h 292894"/>
                <a:gd name="connsiteX10" fmla="*/ 21432 w 785813"/>
                <a:gd name="connsiteY10" fmla="*/ 130969 h 292894"/>
                <a:gd name="connsiteX11" fmla="*/ 11907 w 785813"/>
                <a:gd name="connsiteY11" fmla="*/ 0 h 292894"/>
                <a:gd name="connsiteX0" fmla="*/ 19051 w 785813"/>
                <a:gd name="connsiteY0" fmla="*/ 0 h 364332"/>
                <a:gd name="connsiteX1" fmla="*/ 633413 w 785813"/>
                <a:gd name="connsiteY1" fmla="*/ 76201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628650 w 785813"/>
                <a:gd name="connsiteY1" fmla="*/ 2383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561973 w 785813"/>
                <a:gd name="connsiteY1" fmla="*/ 33892 h 364332"/>
                <a:gd name="connsiteX2" fmla="*/ 685801 w 785813"/>
                <a:gd name="connsiteY2" fmla="*/ 202407 h 364332"/>
                <a:gd name="connsiteX3" fmla="*/ 757238 w 785813"/>
                <a:gd name="connsiteY3" fmla="*/ 219076 h 364332"/>
                <a:gd name="connsiteX4" fmla="*/ 762001 w 785813"/>
                <a:gd name="connsiteY4" fmla="*/ 280988 h 364332"/>
                <a:gd name="connsiteX5" fmla="*/ 785813 w 785813"/>
                <a:gd name="connsiteY5" fmla="*/ 290513 h 364332"/>
                <a:gd name="connsiteX6" fmla="*/ 785813 w 785813"/>
                <a:gd name="connsiteY6" fmla="*/ 364332 h 364332"/>
                <a:gd name="connsiteX7" fmla="*/ 0 w 785813"/>
                <a:gd name="connsiteY7" fmla="*/ 364332 h 364332"/>
                <a:gd name="connsiteX8" fmla="*/ 0 w 785813"/>
                <a:gd name="connsiteY8" fmla="*/ 323851 h 364332"/>
                <a:gd name="connsiteX9" fmla="*/ 26194 w 785813"/>
                <a:gd name="connsiteY9" fmla="*/ 321469 h 364332"/>
                <a:gd name="connsiteX10" fmla="*/ 21432 w 785813"/>
                <a:gd name="connsiteY10" fmla="*/ 202407 h 364332"/>
                <a:gd name="connsiteX11" fmla="*/ 19051 w 785813"/>
                <a:gd name="connsiteY11" fmla="*/ 0 h 364332"/>
                <a:gd name="connsiteX0" fmla="*/ 19051 w 785813"/>
                <a:gd name="connsiteY0" fmla="*/ 0 h 364332"/>
                <a:gd name="connsiteX1" fmla="*/ 197874 w 785813"/>
                <a:gd name="connsiteY1" fmla="*/ 31510 h 364332"/>
                <a:gd name="connsiteX2" fmla="*/ 561973 w 785813"/>
                <a:gd name="connsiteY2" fmla="*/ 33892 h 364332"/>
                <a:gd name="connsiteX3" fmla="*/ 685801 w 785813"/>
                <a:gd name="connsiteY3" fmla="*/ 202407 h 364332"/>
                <a:gd name="connsiteX4" fmla="*/ 757238 w 785813"/>
                <a:gd name="connsiteY4" fmla="*/ 219076 h 364332"/>
                <a:gd name="connsiteX5" fmla="*/ 762001 w 785813"/>
                <a:gd name="connsiteY5" fmla="*/ 280988 h 364332"/>
                <a:gd name="connsiteX6" fmla="*/ 785813 w 785813"/>
                <a:gd name="connsiteY6" fmla="*/ 290513 h 364332"/>
                <a:gd name="connsiteX7" fmla="*/ 785813 w 785813"/>
                <a:gd name="connsiteY7" fmla="*/ 364332 h 364332"/>
                <a:gd name="connsiteX8" fmla="*/ 0 w 785813"/>
                <a:gd name="connsiteY8" fmla="*/ 364332 h 364332"/>
                <a:gd name="connsiteX9" fmla="*/ 0 w 785813"/>
                <a:gd name="connsiteY9" fmla="*/ 323851 h 364332"/>
                <a:gd name="connsiteX10" fmla="*/ 26194 w 785813"/>
                <a:gd name="connsiteY10" fmla="*/ 321469 h 364332"/>
                <a:gd name="connsiteX11" fmla="*/ 21432 w 785813"/>
                <a:gd name="connsiteY11" fmla="*/ 202407 h 364332"/>
                <a:gd name="connsiteX12" fmla="*/ 19051 w 785813"/>
                <a:gd name="connsiteY12" fmla="*/ 0 h 364332"/>
                <a:gd name="connsiteX0" fmla="*/ 19051 w 785813"/>
                <a:gd name="connsiteY0" fmla="*/ 0 h 364332"/>
                <a:gd name="connsiteX1" fmla="*/ 197874 w 785813"/>
                <a:gd name="connsiteY1" fmla="*/ 31510 h 364332"/>
                <a:gd name="connsiteX2" fmla="*/ 561973 w 785813"/>
                <a:gd name="connsiteY2" fmla="*/ 33892 h 364332"/>
                <a:gd name="connsiteX3" fmla="*/ 661989 w 785813"/>
                <a:gd name="connsiteY3" fmla="*/ 163019 h 364332"/>
                <a:gd name="connsiteX4" fmla="*/ 757238 w 785813"/>
                <a:gd name="connsiteY4" fmla="*/ 219076 h 364332"/>
                <a:gd name="connsiteX5" fmla="*/ 762001 w 785813"/>
                <a:gd name="connsiteY5" fmla="*/ 280988 h 364332"/>
                <a:gd name="connsiteX6" fmla="*/ 785813 w 785813"/>
                <a:gd name="connsiteY6" fmla="*/ 290513 h 364332"/>
                <a:gd name="connsiteX7" fmla="*/ 785813 w 785813"/>
                <a:gd name="connsiteY7" fmla="*/ 364332 h 364332"/>
                <a:gd name="connsiteX8" fmla="*/ 0 w 785813"/>
                <a:gd name="connsiteY8" fmla="*/ 364332 h 364332"/>
                <a:gd name="connsiteX9" fmla="*/ 0 w 785813"/>
                <a:gd name="connsiteY9" fmla="*/ 323851 h 364332"/>
                <a:gd name="connsiteX10" fmla="*/ 26194 w 785813"/>
                <a:gd name="connsiteY10" fmla="*/ 321469 h 364332"/>
                <a:gd name="connsiteX11" fmla="*/ 21432 w 785813"/>
                <a:gd name="connsiteY11" fmla="*/ 202407 h 364332"/>
                <a:gd name="connsiteX12" fmla="*/ 19051 w 785813"/>
                <a:gd name="connsiteY12" fmla="*/ 0 h 364332"/>
                <a:gd name="connsiteX0" fmla="*/ 19051 w 809625"/>
                <a:gd name="connsiteY0" fmla="*/ 0 h 364332"/>
                <a:gd name="connsiteX1" fmla="*/ 197874 w 809625"/>
                <a:gd name="connsiteY1" fmla="*/ 31510 h 364332"/>
                <a:gd name="connsiteX2" fmla="*/ 561973 w 809625"/>
                <a:gd name="connsiteY2" fmla="*/ 33892 h 364332"/>
                <a:gd name="connsiteX3" fmla="*/ 661989 w 809625"/>
                <a:gd name="connsiteY3" fmla="*/ 163019 h 364332"/>
                <a:gd name="connsiteX4" fmla="*/ 809625 w 809625"/>
                <a:gd name="connsiteY4" fmla="*/ 165903 h 364332"/>
                <a:gd name="connsiteX5" fmla="*/ 762001 w 809625"/>
                <a:gd name="connsiteY5" fmla="*/ 280988 h 364332"/>
                <a:gd name="connsiteX6" fmla="*/ 785813 w 809625"/>
                <a:gd name="connsiteY6" fmla="*/ 290513 h 364332"/>
                <a:gd name="connsiteX7" fmla="*/ 785813 w 809625"/>
                <a:gd name="connsiteY7" fmla="*/ 364332 h 364332"/>
                <a:gd name="connsiteX8" fmla="*/ 0 w 809625"/>
                <a:gd name="connsiteY8" fmla="*/ 364332 h 364332"/>
                <a:gd name="connsiteX9" fmla="*/ 0 w 809625"/>
                <a:gd name="connsiteY9" fmla="*/ 323851 h 364332"/>
                <a:gd name="connsiteX10" fmla="*/ 26194 w 809625"/>
                <a:gd name="connsiteY10" fmla="*/ 321469 h 364332"/>
                <a:gd name="connsiteX11" fmla="*/ 21432 w 809625"/>
                <a:gd name="connsiteY11" fmla="*/ 202407 h 364332"/>
                <a:gd name="connsiteX12" fmla="*/ 19051 w 809625"/>
                <a:gd name="connsiteY12" fmla="*/ 0 h 364332"/>
                <a:gd name="connsiteX0" fmla="*/ 19051 w 881069"/>
                <a:gd name="connsiteY0" fmla="*/ 0 h 364332"/>
                <a:gd name="connsiteX1" fmla="*/ 197874 w 881069"/>
                <a:gd name="connsiteY1" fmla="*/ 31510 h 364332"/>
                <a:gd name="connsiteX2" fmla="*/ 561973 w 881069"/>
                <a:gd name="connsiteY2" fmla="*/ 33892 h 364332"/>
                <a:gd name="connsiteX3" fmla="*/ 661989 w 881069"/>
                <a:gd name="connsiteY3" fmla="*/ 163019 h 364332"/>
                <a:gd name="connsiteX4" fmla="*/ 809625 w 881069"/>
                <a:gd name="connsiteY4" fmla="*/ 165903 h 364332"/>
                <a:gd name="connsiteX5" fmla="*/ 881063 w 881069"/>
                <a:gd name="connsiteY5" fmla="*/ 198275 h 364332"/>
                <a:gd name="connsiteX6" fmla="*/ 785813 w 881069"/>
                <a:gd name="connsiteY6" fmla="*/ 290513 h 364332"/>
                <a:gd name="connsiteX7" fmla="*/ 785813 w 881069"/>
                <a:gd name="connsiteY7" fmla="*/ 364332 h 364332"/>
                <a:gd name="connsiteX8" fmla="*/ 0 w 881069"/>
                <a:gd name="connsiteY8" fmla="*/ 364332 h 364332"/>
                <a:gd name="connsiteX9" fmla="*/ 0 w 881069"/>
                <a:gd name="connsiteY9" fmla="*/ 323851 h 364332"/>
                <a:gd name="connsiteX10" fmla="*/ 26194 w 881069"/>
                <a:gd name="connsiteY10" fmla="*/ 321469 h 364332"/>
                <a:gd name="connsiteX11" fmla="*/ 21432 w 881069"/>
                <a:gd name="connsiteY11" fmla="*/ 202407 h 364332"/>
                <a:gd name="connsiteX12" fmla="*/ 19051 w 881069"/>
                <a:gd name="connsiteY12" fmla="*/ 0 h 364332"/>
                <a:gd name="connsiteX0" fmla="*/ 19051 w 885827"/>
                <a:gd name="connsiteY0" fmla="*/ 0 h 364332"/>
                <a:gd name="connsiteX1" fmla="*/ 197874 w 885827"/>
                <a:gd name="connsiteY1" fmla="*/ 31510 h 364332"/>
                <a:gd name="connsiteX2" fmla="*/ 561973 w 885827"/>
                <a:gd name="connsiteY2" fmla="*/ 33892 h 364332"/>
                <a:gd name="connsiteX3" fmla="*/ 661989 w 885827"/>
                <a:gd name="connsiteY3" fmla="*/ 163019 h 364332"/>
                <a:gd name="connsiteX4" fmla="*/ 809625 w 885827"/>
                <a:gd name="connsiteY4" fmla="*/ 165903 h 364332"/>
                <a:gd name="connsiteX5" fmla="*/ 881063 w 885827"/>
                <a:gd name="connsiteY5" fmla="*/ 198275 h 364332"/>
                <a:gd name="connsiteX6" fmla="*/ 885827 w 885827"/>
                <a:gd name="connsiteY6" fmla="*/ 284605 h 364332"/>
                <a:gd name="connsiteX7" fmla="*/ 785813 w 885827"/>
                <a:gd name="connsiteY7" fmla="*/ 364332 h 364332"/>
                <a:gd name="connsiteX8" fmla="*/ 0 w 885827"/>
                <a:gd name="connsiteY8" fmla="*/ 364332 h 364332"/>
                <a:gd name="connsiteX9" fmla="*/ 0 w 885827"/>
                <a:gd name="connsiteY9" fmla="*/ 323851 h 364332"/>
                <a:gd name="connsiteX10" fmla="*/ 26194 w 885827"/>
                <a:gd name="connsiteY10" fmla="*/ 321469 h 364332"/>
                <a:gd name="connsiteX11" fmla="*/ 21432 w 885827"/>
                <a:gd name="connsiteY11" fmla="*/ 202407 h 364332"/>
                <a:gd name="connsiteX12" fmla="*/ 19051 w 885827"/>
                <a:gd name="connsiteY12" fmla="*/ 0 h 364332"/>
                <a:gd name="connsiteX0" fmla="*/ 19051 w 933451"/>
                <a:gd name="connsiteY0" fmla="*/ 0 h 364332"/>
                <a:gd name="connsiteX1" fmla="*/ 197874 w 933451"/>
                <a:gd name="connsiteY1" fmla="*/ 31510 h 364332"/>
                <a:gd name="connsiteX2" fmla="*/ 561973 w 933451"/>
                <a:gd name="connsiteY2" fmla="*/ 33892 h 364332"/>
                <a:gd name="connsiteX3" fmla="*/ 661989 w 933451"/>
                <a:gd name="connsiteY3" fmla="*/ 163019 h 364332"/>
                <a:gd name="connsiteX4" fmla="*/ 809625 w 933451"/>
                <a:gd name="connsiteY4" fmla="*/ 165903 h 364332"/>
                <a:gd name="connsiteX5" fmla="*/ 881063 w 933451"/>
                <a:gd name="connsiteY5" fmla="*/ 198275 h 364332"/>
                <a:gd name="connsiteX6" fmla="*/ 885827 w 933451"/>
                <a:gd name="connsiteY6" fmla="*/ 284605 h 364332"/>
                <a:gd name="connsiteX7" fmla="*/ 933451 w 933451"/>
                <a:gd name="connsiteY7" fmla="*/ 362363 h 364332"/>
                <a:gd name="connsiteX8" fmla="*/ 0 w 933451"/>
                <a:gd name="connsiteY8" fmla="*/ 364332 h 364332"/>
                <a:gd name="connsiteX9" fmla="*/ 0 w 933451"/>
                <a:gd name="connsiteY9" fmla="*/ 323851 h 364332"/>
                <a:gd name="connsiteX10" fmla="*/ 26194 w 933451"/>
                <a:gd name="connsiteY10" fmla="*/ 321469 h 364332"/>
                <a:gd name="connsiteX11" fmla="*/ 21432 w 933451"/>
                <a:gd name="connsiteY11" fmla="*/ 202407 h 364332"/>
                <a:gd name="connsiteX12" fmla="*/ 19051 w 933451"/>
                <a:gd name="connsiteY12" fmla="*/ 0 h 364332"/>
                <a:gd name="connsiteX0" fmla="*/ 19051 w 940821"/>
                <a:gd name="connsiteY0" fmla="*/ 0 h 364332"/>
                <a:gd name="connsiteX1" fmla="*/ 197874 w 940821"/>
                <a:gd name="connsiteY1" fmla="*/ 31510 h 364332"/>
                <a:gd name="connsiteX2" fmla="*/ 561973 w 940821"/>
                <a:gd name="connsiteY2" fmla="*/ 33892 h 364332"/>
                <a:gd name="connsiteX3" fmla="*/ 661989 w 940821"/>
                <a:gd name="connsiteY3" fmla="*/ 163019 h 364332"/>
                <a:gd name="connsiteX4" fmla="*/ 809625 w 940821"/>
                <a:gd name="connsiteY4" fmla="*/ 165903 h 364332"/>
                <a:gd name="connsiteX5" fmla="*/ 881063 w 940821"/>
                <a:gd name="connsiteY5" fmla="*/ 198275 h 364332"/>
                <a:gd name="connsiteX6" fmla="*/ 885827 w 940821"/>
                <a:gd name="connsiteY6" fmla="*/ 284605 h 364332"/>
                <a:gd name="connsiteX7" fmla="*/ 940821 w 940821"/>
                <a:gd name="connsiteY7" fmla="*/ 303282 h 364332"/>
                <a:gd name="connsiteX8" fmla="*/ 933451 w 940821"/>
                <a:gd name="connsiteY8" fmla="*/ 362363 h 364332"/>
                <a:gd name="connsiteX9" fmla="*/ 0 w 940821"/>
                <a:gd name="connsiteY9" fmla="*/ 364332 h 364332"/>
                <a:gd name="connsiteX10" fmla="*/ 0 w 940821"/>
                <a:gd name="connsiteY10" fmla="*/ 323851 h 364332"/>
                <a:gd name="connsiteX11" fmla="*/ 26194 w 940821"/>
                <a:gd name="connsiteY11" fmla="*/ 321469 h 364332"/>
                <a:gd name="connsiteX12" fmla="*/ 21432 w 940821"/>
                <a:gd name="connsiteY12" fmla="*/ 202407 h 364332"/>
                <a:gd name="connsiteX13" fmla="*/ 19051 w 940821"/>
                <a:gd name="connsiteY13" fmla="*/ 0 h 364332"/>
                <a:gd name="connsiteX0" fmla="*/ 1128714 w 2050484"/>
                <a:gd name="connsiteY0" fmla="*/ 0 h 362363"/>
                <a:gd name="connsiteX1" fmla="*/ 1307537 w 2050484"/>
                <a:gd name="connsiteY1" fmla="*/ 31510 h 362363"/>
                <a:gd name="connsiteX2" fmla="*/ 1671636 w 2050484"/>
                <a:gd name="connsiteY2" fmla="*/ 33892 h 362363"/>
                <a:gd name="connsiteX3" fmla="*/ 1771652 w 2050484"/>
                <a:gd name="connsiteY3" fmla="*/ 163019 h 362363"/>
                <a:gd name="connsiteX4" fmla="*/ 1919288 w 2050484"/>
                <a:gd name="connsiteY4" fmla="*/ 165903 h 362363"/>
                <a:gd name="connsiteX5" fmla="*/ 1990726 w 2050484"/>
                <a:gd name="connsiteY5" fmla="*/ 198275 h 362363"/>
                <a:gd name="connsiteX6" fmla="*/ 1995490 w 2050484"/>
                <a:gd name="connsiteY6" fmla="*/ 284605 h 362363"/>
                <a:gd name="connsiteX7" fmla="*/ 2050484 w 2050484"/>
                <a:gd name="connsiteY7" fmla="*/ 303282 h 362363"/>
                <a:gd name="connsiteX8" fmla="*/ 2043114 w 2050484"/>
                <a:gd name="connsiteY8" fmla="*/ 362363 h 362363"/>
                <a:gd name="connsiteX9" fmla="*/ 0 w 2050484"/>
                <a:gd name="connsiteY9" fmla="*/ 360393 h 362363"/>
                <a:gd name="connsiteX10" fmla="*/ 1109663 w 2050484"/>
                <a:gd name="connsiteY10" fmla="*/ 323851 h 362363"/>
                <a:gd name="connsiteX11" fmla="*/ 1135857 w 2050484"/>
                <a:gd name="connsiteY11" fmla="*/ 321469 h 362363"/>
                <a:gd name="connsiteX12" fmla="*/ 1131095 w 2050484"/>
                <a:gd name="connsiteY12" fmla="*/ 202407 h 362363"/>
                <a:gd name="connsiteX13" fmla="*/ 1128714 w 2050484"/>
                <a:gd name="connsiteY13" fmla="*/ 0 h 362363"/>
                <a:gd name="connsiteX0" fmla="*/ 1128714 w 2050484"/>
                <a:gd name="connsiteY0" fmla="*/ 0 h 362363"/>
                <a:gd name="connsiteX1" fmla="*/ 1307537 w 2050484"/>
                <a:gd name="connsiteY1" fmla="*/ 31510 h 362363"/>
                <a:gd name="connsiteX2" fmla="*/ 1671636 w 2050484"/>
                <a:gd name="connsiteY2" fmla="*/ 33892 h 362363"/>
                <a:gd name="connsiteX3" fmla="*/ 1771652 w 2050484"/>
                <a:gd name="connsiteY3" fmla="*/ 163019 h 362363"/>
                <a:gd name="connsiteX4" fmla="*/ 1919288 w 2050484"/>
                <a:gd name="connsiteY4" fmla="*/ 165903 h 362363"/>
                <a:gd name="connsiteX5" fmla="*/ 1990726 w 2050484"/>
                <a:gd name="connsiteY5" fmla="*/ 198275 h 362363"/>
                <a:gd name="connsiteX6" fmla="*/ 1995490 w 2050484"/>
                <a:gd name="connsiteY6" fmla="*/ 284605 h 362363"/>
                <a:gd name="connsiteX7" fmla="*/ 2050484 w 2050484"/>
                <a:gd name="connsiteY7" fmla="*/ 303282 h 362363"/>
                <a:gd name="connsiteX8" fmla="*/ 2043114 w 2050484"/>
                <a:gd name="connsiteY8" fmla="*/ 362363 h 362363"/>
                <a:gd name="connsiteX9" fmla="*/ 0 w 2050484"/>
                <a:gd name="connsiteY9" fmla="*/ 360393 h 362363"/>
                <a:gd name="connsiteX10" fmla="*/ 2 w 2050484"/>
                <a:gd name="connsiteY10" fmla="*/ 298249 h 362363"/>
                <a:gd name="connsiteX11" fmla="*/ 1135857 w 2050484"/>
                <a:gd name="connsiteY11" fmla="*/ 321469 h 362363"/>
                <a:gd name="connsiteX12" fmla="*/ 1131095 w 2050484"/>
                <a:gd name="connsiteY12" fmla="*/ 202407 h 362363"/>
                <a:gd name="connsiteX13" fmla="*/ 1128714 w 2050484"/>
                <a:gd name="connsiteY13" fmla="*/ 0 h 362363"/>
                <a:gd name="connsiteX0" fmla="*/ 1128714 w 2050484"/>
                <a:gd name="connsiteY0" fmla="*/ 0 h 362363"/>
                <a:gd name="connsiteX1" fmla="*/ 1307537 w 2050484"/>
                <a:gd name="connsiteY1" fmla="*/ 31510 h 362363"/>
                <a:gd name="connsiteX2" fmla="*/ 1671636 w 2050484"/>
                <a:gd name="connsiteY2" fmla="*/ 33892 h 362363"/>
                <a:gd name="connsiteX3" fmla="*/ 1771652 w 2050484"/>
                <a:gd name="connsiteY3" fmla="*/ 163019 h 362363"/>
                <a:gd name="connsiteX4" fmla="*/ 1919288 w 2050484"/>
                <a:gd name="connsiteY4" fmla="*/ 165903 h 362363"/>
                <a:gd name="connsiteX5" fmla="*/ 1990726 w 2050484"/>
                <a:gd name="connsiteY5" fmla="*/ 198275 h 362363"/>
                <a:gd name="connsiteX6" fmla="*/ 1995490 w 2050484"/>
                <a:gd name="connsiteY6" fmla="*/ 284605 h 362363"/>
                <a:gd name="connsiteX7" fmla="*/ 2050484 w 2050484"/>
                <a:gd name="connsiteY7" fmla="*/ 303282 h 362363"/>
                <a:gd name="connsiteX8" fmla="*/ 2043114 w 2050484"/>
                <a:gd name="connsiteY8" fmla="*/ 362363 h 362363"/>
                <a:gd name="connsiteX9" fmla="*/ 0 w 2050484"/>
                <a:gd name="connsiteY9" fmla="*/ 360393 h 362363"/>
                <a:gd name="connsiteX10" fmla="*/ 2 w 2050484"/>
                <a:gd name="connsiteY10" fmla="*/ 298249 h 362363"/>
                <a:gd name="connsiteX11" fmla="*/ 1135857 w 2050484"/>
                <a:gd name="connsiteY11" fmla="*/ 295867 h 362363"/>
                <a:gd name="connsiteX12" fmla="*/ 1131095 w 2050484"/>
                <a:gd name="connsiteY12" fmla="*/ 202407 h 362363"/>
                <a:gd name="connsiteX13" fmla="*/ 1128714 w 2050484"/>
                <a:gd name="connsiteY13" fmla="*/ 0 h 362363"/>
                <a:gd name="connsiteX0" fmla="*/ 1123953 w 2050484"/>
                <a:gd name="connsiteY0" fmla="*/ 0 h 382057"/>
                <a:gd name="connsiteX1" fmla="*/ 1307537 w 2050484"/>
                <a:gd name="connsiteY1" fmla="*/ 51204 h 382057"/>
                <a:gd name="connsiteX2" fmla="*/ 1671636 w 2050484"/>
                <a:gd name="connsiteY2" fmla="*/ 53586 h 382057"/>
                <a:gd name="connsiteX3" fmla="*/ 1771652 w 2050484"/>
                <a:gd name="connsiteY3" fmla="*/ 182713 h 382057"/>
                <a:gd name="connsiteX4" fmla="*/ 1919288 w 2050484"/>
                <a:gd name="connsiteY4" fmla="*/ 185597 h 382057"/>
                <a:gd name="connsiteX5" fmla="*/ 1990726 w 2050484"/>
                <a:gd name="connsiteY5" fmla="*/ 217969 h 382057"/>
                <a:gd name="connsiteX6" fmla="*/ 1995490 w 2050484"/>
                <a:gd name="connsiteY6" fmla="*/ 304299 h 382057"/>
                <a:gd name="connsiteX7" fmla="*/ 2050484 w 2050484"/>
                <a:gd name="connsiteY7" fmla="*/ 322976 h 382057"/>
                <a:gd name="connsiteX8" fmla="*/ 2043114 w 2050484"/>
                <a:gd name="connsiteY8" fmla="*/ 382057 h 382057"/>
                <a:gd name="connsiteX9" fmla="*/ 0 w 2050484"/>
                <a:gd name="connsiteY9" fmla="*/ 380087 h 382057"/>
                <a:gd name="connsiteX10" fmla="*/ 2 w 2050484"/>
                <a:gd name="connsiteY10" fmla="*/ 317943 h 382057"/>
                <a:gd name="connsiteX11" fmla="*/ 1135857 w 2050484"/>
                <a:gd name="connsiteY11" fmla="*/ 315561 h 382057"/>
                <a:gd name="connsiteX12" fmla="*/ 1131095 w 2050484"/>
                <a:gd name="connsiteY12" fmla="*/ 222101 h 382057"/>
                <a:gd name="connsiteX13" fmla="*/ 1123953 w 2050484"/>
                <a:gd name="connsiteY13" fmla="*/ 0 h 382057"/>
                <a:gd name="connsiteX0" fmla="*/ 1123953 w 2050484"/>
                <a:gd name="connsiteY0" fmla="*/ 0 h 382057"/>
                <a:gd name="connsiteX1" fmla="*/ 1517087 w 2050484"/>
                <a:gd name="connsiteY1" fmla="*/ 49235 h 382057"/>
                <a:gd name="connsiteX2" fmla="*/ 1671636 w 2050484"/>
                <a:gd name="connsiteY2" fmla="*/ 53586 h 382057"/>
                <a:gd name="connsiteX3" fmla="*/ 1771652 w 2050484"/>
                <a:gd name="connsiteY3" fmla="*/ 182713 h 382057"/>
                <a:gd name="connsiteX4" fmla="*/ 1919288 w 2050484"/>
                <a:gd name="connsiteY4" fmla="*/ 185597 h 382057"/>
                <a:gd name="connsiteX5" fmla="*/ 1990726 w 2050484"/>
                <a:gd name="connsiteY5" fmla="*/ 217969 h 382057"/>
                <a:gd name="connsiteX6" fmla="*/ 1995490 w 2050484"/>
                <a:gd name="connsiteY6" fmla="*/ 304299 h 382057"/>
                <a:gd name="connsiteX7" fmla="*/ 2050484 w 2050484"/>
                <a:gd name="connsiteY7" fmla="*/ 322976 h 382057"/>
                <a:gd name="connsiteX8" fmla="*/ 2043114 w 2050484"/>
                <a:gd name="connsiteY8" fmla="*/ 382057 h 382057"/>
                <a:gd name="connsiteX9" fmla="*/ 0 w 2050484"/>
                <a:gd name="connsiteY9" fmla="*/ 380087 h 382057"/>
                <a:gd name="connsiteX10" fmla="*/ 2 w 2050484"/>
                <a:gd name="connsiteY10" fmla="*/ 317943 h 382057"/>
                <a:gd name="connsiteX11" fmla="*/ 1135857 w 2050484"/>
                <a:gd name="connsiteY11" fmla="*/ 315561 h 382057"/>
                <a:gd name="connsiteX12" fmla="*/ 1131095 w 2050484"/>
                <a:gd name="connsiteY12" fmla="*/ 222101 h 382057"/>
                <a:gd name="connsiteX13" fmla="*/ 1123953 w 2050484"/>
                <a:gd name="connsiteY13" fmla="*/ 0 h 382057"/>
                <a:gd name="connsiteX0" fmla="*/ 1123953 w 2050484"/>
                <a:gd name="connsiteY0" fmla="*/ 82055 h 464112"/>
                <a:gd name="connsiteX1" fmla="*/ 1517087 w 2050484"/>
                <a:gd name="connsiteY1" fmla="*/ 131290 h 464112"/>
                <a:gd name="connsiteX2" fmla="*/ 1671636 w 2050484"/>
                <a:gd name="connsiteY2" fmla="*/ 135641 h 464112"/>
                <a:gd name="connsiteX3" fmla="*/ 1771652 w 2050484"/>
                <a:gd name="connsiteY3" fmla="*/ 264768 h 464112"/>
                <a:gd name="connsiteX4" fmla="*/ 1919288 w 2050484"/>
                <a:gd name="connsiteY4" fmla="*/ 267652 h 464112"/>
                <a:gd name="connsiteX5" fmla="*/ 1990726 w 2050484"/>
                <a:gd name="connsiteY5" fmla="*/ 300024 h 464112"/>
                <a:gd name="connsiteX6" fmla="*/ 1995490 w 2050484"/>
                <a:gd name="connsiteY6" fmla="*/ 386354 h 464112"/>
                <a:gd name="connsiteX7" fmla="*/ 2050484 w 2050484"/>
                <a:gd name="connsiteY7" fmla="*/ 405031 h 464112"/>
                <a:gd name="connsiteX8" fmla="*/ 2043114 w 2050484"/>
                <a:gd name="connsiteY8" fmla="*/ 464112 h 464112"/>
                <a:gd name="connsiteX9" fmla="*/ 0 w 2050484"/>
                <a:gd name="connsiteY9" fmla="*/ 462142 h 464112"/>
                <a:gd name="connsiteX10" fmla="*/ 2 w 2050484"/>
                <a:gd name="connsiteY10" fmla="*/ 399998 h 464112"/>
                <a:gd name="connsiteX11" fmla="*/ 1135857 w 2050484"/>
                <a:gd name="connsiteY11" fmla="*/ 397616 h 464112"/>
                <a:gd name="connsiteX12" fmla="*/ 1059479 w 2050484"/>
                <a:gd name="connsiteY12" fmla="*/ 13935 h 464112"/>
                <a:gd name="connsiteX13" fmla="*/ 1123953 w 2050484"/>
                <a:gd name="connsiteY13" fmla="*/ 82055 h 464112"/>
                <a:gd name="connsiteX0" fmla="*/ 1314931 w 2050484"/>
                <a:gd name="connsiteY0" fmla="*/ 117697 h 462242"/>
                <a:gd name="connsiteX1" fmla="*/ 1517087 w 2050484"/>
                <a:gd name="connsiteY1" fmla="*/ 129420 h 462242"/>
                <a:gd name="connsiteX2" fmla="*/ 1671636 w 2050484"/>
                <a:gd name="connsiteY2" fmla="*/ 133771 h 462242"/>
                <a:gd name="connsiteX3" fmla="*/ 1771652 w 2050484"/>
                <a:gd name="connsiteY3" fmla="*/ 262898 h 462242"/>
                <a:gd name="connsiteX4" fmla="*/ 1919288 w 2050484"/>
                <a:gd name="connsiteY4" fmla="*/ 265782 h 462242"/>
                <a:gd name="connsiteX5" fmla="*/ 1990726 w 2050484"/>
                <a:gd name="connsiteY5" fmla="*/ 298154 h 462242"/>
                <a:gd name="connsiteX6" fmla="*/ 1995490 w 2050484"/>
                <a:gd name="connsiteY6" fmla="*/ 384484 h 462242"/>
                <a:gd name="connsiteX7" fmla="*/ 2050484 w 2050484"/>
                <a:gd name="connsiteY7" fmla="*/ 403161 h 462242"/>
                <a:gd name="connsiteX8" fmla="*/ 2043114 w 2050484"/>
                <a:gd name="connsiteY8" fmla="*/ 462242 h 462242"/>
                <a:gd name="connsiteX9" fmla="*/ 0 w 2050484"/>
                <a:gd name="connsiteY9" fmla="*/ 460272 h 462242"/>
                <a:gd name="connsiteX10" fmla="*/ 2 w 2050484"/>
                <a:gd name="connsiteY10" fmla="*/ 398128 h 462242"/>
                <a:gd name="connsiteX11" fmla="*/ 1135857 w 2050484"/>
                <a:gd name="connsiteY11" fmla="*/ 395746 h 462242"/>
                <a:gd name="connsiteX12" fmla="*/ 1059479 w 2050484"/>
                <a:gd name="connsiteY12" fmla="*/ 12065 h 462242"/>
                <a:gd name="connsiteX13" fmla="*/ 1314931 w 2050484"/>
                <a:gd name="connsiteY13" fmla="*/ 117697 h 462242"/>
                <a:gd name="connsiteX0" fmla="*/ 1059479 w 2050484"/>
                <a:gd name="connsiteY0" fmla="*/ 8572 h 458749"/>
                <a:gd name="connsiteX1" fmla="*/ 1517087 w 2050484"/>
                <a:gd name="connsiteY1" fmla="*/ 125927 h 458749"/>
                <a:gd name="connsiteX2" fmla="*/ 1671636 w 2050484"/>
                <a:gd name="connsiteY2" fmla="*/ 130278 h 458749"/>
                <a:gd name="connsiteX3" fmla="*/ 1771652 w 2050484"/>
                <a:gd name="connsiteY3" fmla="*/ 259405 h 458749"/>
                <a:gd name="connsiteX4" fmla="*/ 1919288 w 2050484"/>
                <a:gd name="connsiteY4" fmla="*/ 262289 h 458749"/>
                <a:gd name="connsiteX5" fmla="*/ 1990726 w 2050484"/>
                <a:gd name="connsiteY5" fmla="*/ 294661 h 458749"/>
                <a:gd name="connsiteX6" fmla="*/ 1995490 w 2050484"/>
                <a:gd name="connsiteY6" fmla="*/ 380991 h 458749"/>
                <a:gd name="connsiteX7" fmla="*/ 2050484 w 2050484"/>
                <a:gd name="connsiteY7" fmla="*/ 399668 h 458749"/>
                <a:gd name="connsiteX8" fmla="*/ 2043114 w 2050484"/>
                <a:gd name="connsiteY8" fmla="*/ 458749 h 458749"/>
                <a:gd name="connsiteX9" fmla="*/ 0 w 2050484"/>
                <a:gd name="connsiteY9" fmla="*/ 456779 h 458749"/>
                <a:gd name="connsiteX10" fmla="*/ 2 w 2050484"/>
                <a:gd name="connsiteY10" fmla="*/ 394635 h 458749"/>
                <a:gd name="connsiteX11" fmla="*/ 1135857 w 2050484"/>
                <a:gd name="connsiteY11" fmla="*/ 392253 h 458749"/>
                <a:gd name="connsiteX12" fmla="*/ 1059479 w 2050484"/>
                <a:gd name="connsiteY12" fmla="*/ 8572 h 458749"/>
                <a:gd name="connsiteX0" fmla="*/ 1059479 w 2050484"/>
                <a:gd name="connsiteY0" fmla="*/ 8572 h 458749"/>
                <a:gd name="connsiteX1" fmla="*/ 1455019 w 2050484"/>
                <a:gd name="connsiteY1" fmla="*/ 125927 h 458749"/>
                <a:gd name="connsiteX2" fmla="*/ 1671636 w 2050484"/>
                <a:gd name="connsiteY2" fmla="*/ 130278 h 458749"/>
                <a:gd name="connsiteX3" fmla="*/ 1771652 w 2050484"/>
                <a:gd name="connsiteY3" fmla="*/ 259405 h 458749"/>
                <a:gd name="connsiteX4" fmla="*/ 1919288 w 2050484"/>
                <a:gd name="connsiteY4" fmla="*/ 262289 h 458749"/>
                <a:gd name="connsiteX5" fmla="*/ 1990726 w 2050484"/>
                <a:gd name="connsiteY5" fmla="*/ 294661 h 458749"/>
                <a:gd name="connsiteX6" fmla="*/ 1995490 w 2050484"/>
                <a:gd name="connsiteY6" fmla="*/ 380991 h 458749"/>
                <a:gd name="connsiteX7" fmla="*/ 2050484 w 2050484"/>
                <a:gd name="connsiteY7" fmla="*/ 399668 h 458749"/>
                <a:gd name="connsiteX8" fmla="*/ 2043114 w 2050484"/>
                <a:gd name="connsiteY8" fmla="*/ 458749 h 458749"/>
                <a:gd name="connsiteX9" fmla="*/ 0 w 2050484"/>
                <a:gd name="connsiteY9" fmla="*/ 456779 h 458749"/>
                <a:gd name="connsiteX10" fmla="*/ 2 w 2050484"/>
                <a:gd name="connsiteY10" fmla="*/ 394635 h 458749"/>
                <a:gd name="connsiteX11" fmla="*/ 1135857 w 2050484"/>
                <a:gd name="connsiteY11" fmla="*/ 392253 h 458749"/>
                <a:gd name="connsiteX12" fmla="*/ 1059479 w 2050484"/>
                <a:gd name="connsiteY12" fmla="*/ 8572 h 458749"/>
                <a:gd name="connsiteX0" fmla="*/ 1345944 w 2050484"/>
                <a:gd name="connsiteY0" fmla="*/ 10188 h 432725"/>
                <a:gd name="connsiteX1" fmla="*/ 1455019 w 2050484"/>
                <a:gd name="connsiteY1" fmla="*/ 99903 h 432725"/>
                <a:gd name="connsiteX2" fmla="*/ 1671636 w 2050484"/>
                <a:gd name="connsiteY2" fmla="*/ 104254 h 432725"/>
                <a:gd name="connsiteX3" fmla="*/ 1771652 w 2050484"/>
                <a:gd name="connsiteY3" fmla="*/ 233381 h 432725"/>
                <a:gd name="connsiteX4" fmla="*/ 1919288 w 2050484"/>
                <a:gd name="connsiteY4" fmla="*/ 236265 h 432725"/>
                <a:gd name="connsiteX5" fmla="*/ 1990726 w 2050484"/>
                <a:gd name="connsiteY5" fmla="*/ 268637 h 432725"/>
                <a:gd name="connsiteX6" fmla="*/ 1995490 w 2050484"/>
                <a:gd name="connsiteY6" fmla="*/ 354967 h 432725"/>
                <a:gd name="connsiteX7" fmla="*/ 2050484 w 2050484"/>
                <a:gd name="connsiteY7" fmla="*/ 373644 h 432725"/>
                <a:gd name="connsiteX8" fmla="*/ 2043114 w 2050484"/>
                <a:gd name="connsiteY8" fmla="*/ 432725 h 432725"/>
                <a:gd name="connsiteX9" fmla="*/ 0 w 2050484"/>
                <a:gd name="connsiteY9" fmla="*/ 430755 h 432725"/>
                <a:gd name="connsiteX10" fmla="*/ 2 w 2050484"/>
                <a:gd name="connsiteY10" fmla="*/ 368611 h 432725"/>
                <a:gd name="connsiteX11" fmla="*/ 1135857 w 2050484"/>
                <a:gd name="connsiteY11" fmla="*/ 366229 h 432725"/>
                <a:gd name="connsiteX12" fmla="*/ 1345944 w 2050484"/>
                <a:gd name="connsiteY12" fmla="*/ 10188 h 432725"/>
                <a:gd name="connsiteX0" fmla="*/ 1351173 w 2055713"/>
                <a:gd name="connsiteY0" fmla="*/ 10188 h 432725"/>
                <a:gd name="connsiteX1" fmla="*/ 1460248 w 2055713"/>
                <a:gd name="connsiteY1" fmla="*/ 99903 h 432725"/>
                <a:gd name="connsiteX2" fmla="*/ 1676865 w 2055713"/>
                <a:gd name="connsiteY2" fmla="*/ 104254 h 432725"/>
                <a:gd name="connsiteX3" fmla="*/ 1776881 w 2055713"/>
                <a:gd name="connsiteY3" fmla="*/ 233381 h 432725"/>
                <a:gd name="connsiteX4" fmla="*/ 1924517 w 2055713"/>
                <a:gd name="connsiteY4" fmla="*/ 236265 h 432725"/>
                <a:gd name="connsiteX5" fmla="*/ 1995955 w 2055713"/>
                <a:gd name="connsiteY5" fmla="*/ 268637 h 432725"/>
                <a:gd name="connsiteX6" fmla="*/ 2000719 w 2055713"/>
                <a:gd name="connsiteY6" fmla="*/ 354967 h 432725"/>
                <a:gd name="connsiteX7" fmla="*/ 2055713 w 2055713"/>
                <a:gd name="connsiteY7" fmla="*/ 373644 h 432725"/>
                <a:gd name="connsiteX8" fmla="*/ 2048343 w 2055713"/>
                <a:gd name="connsiteY8" fmla="*/ 432725 h 432725"/>
                <a:gd name="connsiteX9" fmla="*/ 5229 w 2055713"/>
                <a:gd name="connsiteY9" fmla="*/ 430755 h 432725"/>
                <a:gd name="connsiteX10" fmla="*/ 5231 w 2055713"/>
                <a:gd name="connsiteY10" fmla="*/ 368611 h 432725"/>
                <a:gd name="connsiteX11" fmla="*/ 0 w 2055713"/>
                <a:gd name="connsiteY11" fmla="*/ 8884 h 432725"/>
                <a:gd name="connsiteX12" fmla="*/ 1351173 w 2055713"/>
                <a:gd name="connsiteY12" fmla="*/ 10188 h 432725"/>
                <a:gd name="connsiteX0" fmla="*/ 1351173 w 2055713"/>
                <a:gd name="connsiteY0" fmla="*/ 1304 h 423841"/>
                <a:gd name="connsiteX1" fmla="*/ 1460248 w 2055713"/>
                <a:gd name="connsiteY1" fmla="*/ 91019 h 423841"/>
                <a:gd name="connsiteX2" fmla="*/ 1676865 w 2055713"/>
                <a:gd name="connsiteY2" fmla="*/ 95370 h 423841"/>
                <a:gd name="connsiteX3" fmla="*/ 1776881 w 2055713"/>
                <a:gd name="connsiteY3" fmla="*/ 224497 h 423841"/>
                <a:gd name="connsiteX4" fmla="*/ 1924517 w 2055713"/>
                <a:gd name="connsiteY4" fmla="*/ 227381 h 423841"/>
                <a:gd name="connsiteX5" fmla="*/ 1995955 w 2055713"/>
                <a:gd name="connsiteY5" fmla="*/ 259753 h 423841"/>
                <a:gd name="connsiteX6" fmla="*/ 2000719 w 2055713"/>
                <a:gd name="connsiteY6" fmla="*/ 346083 h 423841"/>
                <a:gd name="connsiteX7" fmla="*/ 2055713 w 2055713"/>
                <a:gd name="connsiteY7" fmla="*/ 364760 h 423841"/>
                <a:gd name="connsiteX8" fmla="*/ 2048343 w 2055713"/>
                <a:gd name="connsiteY8" fmla="*/ 423841 h 423841"/>
                <a:gd name="connsiteX9" fmla="*/ 5229 w 2055713"/>
                <a:gd name="connsiteY9" fmla="*/ 421871 h 423841"/>
                <a:gd name="connsiteX10" fmla="*/ 5231 w 2055713"/>
                <a:gd name="connsiteY10" fmla="*/ 359727 h 423841"/>
                <a:gd name="connsiteX11" fmla="*/ 0 w 2055713"/>
                <a:gd name="connsiteY11" fmla="*/ 0 h 423841"/>
                <a:gd name="connsiteX12" fmla="*/ 1351173 w 2055713"/>
                <a:gd name="connsiteY12" fmla="*/ 1304 h 423841"/>
                <a:gd name="connsiteX0" fmla="*/ 1751770 w 2456310"/>
                <a:gd name="connsiteY0" fmla="*/ 1304 h 423841"/>
                <a:gd name="connsiteX1" fmla="*/ 1860845 w 2456310"/>
                <a:gd name="connsiteY1" fmla="*/ 91019 h 423841"/>
                <a:gd name="connsiteX2" fmla="*/ 2077462 w 2456310"/>
                <a:gd name="connsiteY2" fmla="*/ 95370 h 423841"/>
                <a:gd name="connsiteX3" fmla="*/ 2177478 w 2456310"/>
                <a:gd name="connsiteY3" fmla="*/ 224497 h 423841"/>
                <a:gd name="connsiteX4" fmla="*/ 2325114 w 2456310"/>
                <a:gd name="connsiteY4" fmla="*/ 227381 h 423841"/>
                <a:gd name="connsiteX5" fmla="*/ 2396552 w 2456310"/>
                <a:gd name="connsiteY5" fmla="*/ 259753 h 423841"/>
                <a:gd name="connsiteX6" fmla="*/ 2401316 w 2456310"/>
                <a:gd name="connsiteY6" fmla="*/ 346083 h 423841"/>
                <a:gd name="connsiteX7" fmla="*/ 2456310 w 2456310"/>
                <a:gd name="connsiteY7" fmla="*/ 364760 h 423841"/>
                <a:gd name="connsiteX8" fmla="*/ 2448940 w 2456310"/>
                <a:gd name="connsiteY8" fmla="*/ 423841 h 423841"/>
                <a:gd name="connsiteX9" fmla="*/ 405826 w 2456310"/>
                <a:gd name="connsiteY9" fmla="*/ 421871 h 423841"/>
                <a:gd name="connsiteX10" fmla="*/ 405828 w 2456310"/>
                <a:gd name="connsiteY10" fmla="*/ 359727 h 423841"/>
                <a:gd name="connsiteX11" fmla="*/ 4 w 2456310"/>
                <a:gd name="connsiteY11" fmla="*/ 231301 h 423841"/>
                <a:gd name="connsiteX12" fmla="*/ 400597 w 2456310"/>
                <a:gd name="connsiteY12" fmla="*/ 0 h 423841"/>
                <a:gd name="connsiteX13" fmla="*/ 1751770 w 2456310"/>
                <a:gd name="connsiteY13" fmla="*/ 1304 h 423841"/>
                <a:gd name="connsiteX0" fmla="*/ 1751770 w 2456310"/>
                <a:gd name="connsiteY0" fmla="*/ 1304 h 423841"/>
                <a:gd name="connsiteX1" fmla="*/ 1860845 w 2456310"/>
                <a:gd name="connsiteY1" fmla="*/ 91019 h 423841"/>
                <a:gd name="connsiteX2" fmla="*/ 2077462 w 2456310"/>
                <a:gd name="connsiteY2" fmla="*/ 95370 h 423841"/>
                <a:gd name="connsiteX3" fmla="*/ 2177478 w 2456310"/>
                <a:gd name="connsiteY3" fmla="*/ 224497 h 423841"/>
                <a:gd name="connsiteX4" fmla="*/ 2325114 w 2456310"/>
                <a:gd name="connsiteY4" fmla="*/ 227381 h 423841"/>
                <a:gd name="connsiteX5" fmla="*/ 2396552 w 2456310"/>
                <a:gd name="connsiteY5" fmla="*/ 259753 h 423841"/>
                <a:gd name="connsiteX6" fmla="*/ 2401316 w 2456310"/>
                <a:gd name="connsiteY6" fmla="*/ 346083 h 423841"/>
                <a:gd name="connsiteX7" fmla="*/ 2456310 w 2456310"/>
                <a:gd name="connsiteY7" fmla="*/ 364760 h 423841"/>
                <a:gd name="connsiteX8" fmla="*/ 2448940 w 2456310"/>
                <a:gd name="connsiteY8" fmla="*/ 423841 h 423841"/>
                <a:gd name="connsiteX9" fmla="*/ 405826 w 2456310"/>
                <a:gd name="connsiteY9" fmla="*/ 421871 h 423841"/>
                <a:gd name="connsiteX10" fmla="*/ 2 w 2456310"/>
                <a:gd name="connsiteY10" fmla="*/ 409084 h 423841"/>
                <a:gd name="connsiteX11" fmla="*/ 4 w 2456310"/>
                <a:gd name="connsiteY11" fmla="*/ 231301 h 423841"/>
                <a:gd name="connsiteX12" fmla="*/ 400597 w 2456310"/>
                <a:gd name="connsiteY12" fmla="*/ 0 h 423841"/>
                <a:gd name="connsiteX13" fmla="*/ 1751770 w 2456310"/>
                <a:gd name="connsiteY13" fmla="*/ 1304 h 423841"/>
                <a:gd name="connsiteX0" fmla="*/ 1751770 w 2456310"/>
                <a:gd name="connsiteY0" fmla="*/ 1304 h 425292"/>
                <a:gd name="connsiteX1" fmla="*/ 1860845 w 2456310"/>
                <a:gd name="connsiteY1" fmla="*/ 91019 h 425292"/>
                <a:gd name="connsiteX2" fmla="*/ 2077462 w 2456310"/>
                <a:gd name="connsiteY2" fmla="*/ 95370 h 425292"/>
                <a:gd name="connsiteX3" fmla="*/ 2177478 w 2456310"/>
                <a:gd name="connsiteY3" fmla="*/ 224497 h 425292"/>
                <a:gd name="connsiteX4" fmla="*/ 2325114 w 2456310"/>
                <a:gd name="connsiteY4" fmla="*/ 227381 h 425292"/>
                <a:gd name="connsiteX5" fmla="*/ 2396552 w 2456310"/>
                <a:gd name="connsiteY5" fmla="*/ 259753 h 425292"/>
                <a:gd name="connsiteX6" fmla="*/ 2401316 w 2456310"/>
                <a:gd name="connsiteY6" fmla="*/ 346083 h 425292"/>
                <a:gd name="connsiteX7" fmla="*/ 2456310 w 2456310"/>
                <a:gd name="connsiteY7" fmla="*/ 364760 h 425292"/>
                <a:gd name="connsiteX8" fmla="*/ 2448940 w 2456310"/>
                <a:gd name="connsiteY8" fmla="*/ 423841 h 425292"/>
                <a:gd name="connsiteX9" fmla="*/ 405826 w 2456310"/>
                <a:gd name="connsiteY9" fmla="*/ 421871 h 425292"/>
                <a:gd name="connsiteX10" fmla="*/ 2 w 2456310"/>
                <a:gd name="connsiteY10" fmla="*/ 418956 h 425292"/>
                <a:gd name="connsiteX11" fmla="*/ 4 w 2456310"/>
                <a:gd name="connsiteY11" fmla="*/ 231301 h 425292"/>
                <a:gd name="connsiteX12" fmla="*/ 400597 w 2456310"/>
                <a:gd name="connsiteY12" fmla="*/ 0 h 425292"/>
                <a:gd name="connsiteX13" fmla="*/ 1751770 w 2456310"/>
                <a:gd name="connsiteY13" fmla="*/ 1304 h 425292"/>
                <a:gd name="connsiteX0" fmla="*/ 1751770 w 2456310"/>
                <a:gd name="connsiteY0" fmla="*/ 1304 h 423841"/>
                <a:gd name="connsiteX1" fmla="*/ 1860845 w 2456310"/>
                <a:gd name="connsiteY1" fmla="*/ 91019 h 423841"/>
                <a:gd name="connsiteX2" fmla="*/ 2077462 w 2456310"/>
                <a:gd name="connsiteY2" fmla="*/ 95370 h 423841"/>
                <a:gd name="connsiteX3" fmla="*/ 2177478 w 2456310"/>
                <a:gd name="connsiteY3" fmla="*/ 224497 h 423841"/>
                <a:gd name="connsiteX4" fmla="*/ 2325114 w 2456310"/>
                <a:gd name="connsiteY4" fmla="*/ 227381 h 423841"/>
                <a:gd name="connsiteX5" fmla="*/ 2396552 w 2456310"/>
                <a:gd name="connsiteY5" fmla="*/ 259753 h 423841"/>
                <a:gd name="connsiteX6" fmla="*/ 2401316 w 2456310"/>
                <a:gd name="connsiteY6" fmla="*/ 346083 h 423841"/>
                <a:gd name="connsiteX7" fmla="*/ 2456310 w 2456310"/>
                <a:gd name="connsiteY7" fmla="*/ 364760 h 423841"/>
                <a:gd name="connsiteX8" fmla="*/ 2448940 w 2456310"/>
                <a:gd name="connsiteY8" fmla="*/ 423841 h 423841"/>
                <a:gd name="connsiteX9" fmla="*/ 2 w 2456310"/>
                <a:gd name="connsiteY9" fmla="*/ 418956 h 423841"/>
                <a:gd name="connsiteX10" fmla="*/ 4 w 2456310"/>
                <a:gd name="connsiteY10" fmla="*/ 231301 h 423841"/>
                <a:gd name="connsiteX11" fmla="*/ 400597 w 2456310"/>
                <a:gd name="connsiteY11" fmla="*/ 0 h 423841"/>
                <a:gd name="connsiteX12" fmla="*/ 1751770 w 2456310"/>
                <a:gd name="connsiteY12" fmla="*/ 1304 h 423841"/>
                <a:gd name="connsiteX0" fmla="*/ 1933522 w 2638062"/>
                <a:gd name="connsiteY0" fmla="*/ 1304 h 423841"/>
                <a:gd name="connsiteX1" fmla="*/ 2042597 w 2638062"/>
                <a:gd name="connsiteY1" fmla="*/ 91019 h 423841"/>
                <a:gd name="connsiteX2" fmla="*/ 2259214 w 2638062"/>
                <a:gd name="connsiteY2" fmla="*/ 95370 h 423841"/>
                <a:gd name="connsiteX3" fmla="*/ 2359230 w 2638062"/>
                <a:gd name="connsiteY3" fmla="*/ 224497 h 423841"/>
                <a:gd name="connsiteX4" fmla="*/ 2506866 w 2638062"/>
                <a:gd name="connsiteY4" fmla="*/ 227381 h 423841"/>
                <a:gd name="connsiteX5" fmla="*/ 2578304 w 2638062"/>
                <a:gd name="connsiteY5" fmla="*/ 259753 h 423841"/>
                <a:gd name="connsiteX6" fmla="*/ 2583068 w 2638062"/>
                <a:gd name="connsiteY6" fmla="*/ 346083 h 423841"/>
                <a:gd name="connsiteX7" fmla="*/ 2638062 w 2638062"/>
                <a:gd name="connsiteY7" fmla="*/ 364760 h 423841"/>
                <a:gd name="connsiteX8" fmla="*/ 2630692 w 2638062"/>
                <a:gd name="connsiteY8" fmla="*/ 423841 h 423841"/>
                <a:gd name="connsiteX9" fmla="*/ 181754 w 2638062"/>
                <a:gd name="connsiteY9" fmla="*/ 418956 h 423841"/>
                <a:gd name="connsiteX10" fmla="*/ 181758 w 2638062"/>
                <a:gd name="connsiteY10" fmla="*/ 320144 h 423841"/>
                <a:gd name="connsiteX11" fmla="*/ 181756 w 2638062"/>
                <a:gd name="connsiteY11" fmla="*/ 231301 h 423841"/>
                <a:gd name="connsiteX12" fmla="*/ 582349 w 2638062"/>
                <a:gd name="connsiteY12" fmla="*/ 0 h 423841"/>
                <a:gd name="connsiteX13" fmla="*/ 1933522 w 2638062"/>
                <a:gd name="connsiteY13" fmla="*/ 1304 h 423841"/>
                <a:gd name="connsiteX0" fmla="*/ 1781793 w 2486333"/>
                <a:gd name="connsiteY0" fmla="*/ 1304 h 423841"/>
                <a:gd name="connsiteX1" fmla="*/ 1890868 w 2486333"/>
                <a:gd name="connsiteY1" fmla="*/ 91019 h 423841"/>
                <a:gd name="connsiteX2" fmla="*/ 2107485 w 2486333"/>
                <a:gd name="connsiteY2" fmla="*/ 95370 h 423841"/>
                <a:gd name="connsiteX3" fmla="*/ 2207501 w 2486333"/>
                <a:gd name="connsiteY3" fmla="*/ 224497 h 423841"/>
                <a:gd name="connsiteX4" fmla="*/ 2355137 w 2486333"/>
                <a:gd name="connsiteY4" fmla="*/ 227381 h 423841"/>
                <a:gd name="connsiteX5" fmla="*/ 2426575 w 2486333"/>
                <a:gd name="connsiteY5" fmla="*/ 259753 h 423841"/>
                <a:gd name="connsiteX6" fmla="*/ 2431339 w 2486333"/>
                <a:gd name="connsiteY6" fmla="*/ 346083 h 423841"/>
                <a:gd name="connsiteX7" fmla="*/ 2486333 w 2486333"/>
                <a:gd name="connsiteY7" fmla="*/ 364760 h 423841"/>
                <a:gd name="connsiteX8" fmla="*/ 2478963 w 2486333"/>
                <a:gd name="connsiteY8" fmla="*/ 423841 h 423841"/>
                <a:gd name="connsiteX9" fmla="*/ 30025 w 2486333"/>
                <a:gd name="connsiteY9" fmla="*/ 418956 h 423841"/>
                <a:gd name="connsiteX10" fmla="*/ 30029 w 2486333"/>
                <a:gd name="connsiteY10" fmla="*/ 320144 h 423841"/>
                <a:gd name="connsiteX11" fmla="*/ 30027 w 2486333"/>
                <a:gd name="connsiteY11" fmla="*/ 231301 h 423841"/>
                <a:gd name="connsiteX12" fmla="*/ 430620 w 2486333"/>
                <a:gd name="connsiteY12" fmla="*/ 0 h 423841"/>
                <a:gd name="connsiteX13" fmla="*/ 1781793 w 2486333"/>
                <a:gd name="connsiteY13" fmla="*/ 1304 h 423841"/>
                <a:gd name="connsiteX0" fmla="*/ 1751768 w 2456308"/>
                <a:gd name="connsiteY0" fmla="*/ 1304 h 423841"/>
                <a:gd name="connsiteX1" fmla="*/ 1860843 w 2456308"/>
                <a:gd name="connsiteY1" fmla="*/ 91019 h 423841"/>
                <a:gd name="connsiteX2" fmla="*/ 2077460 w 2456308"/>
                <a:gd name="connsiteY2" fmla="*/ 95370 h 423841"/>
                <a:gd name="connsiteX3" fmla="*/ 2177476 w 2456308"/>
                <a:gd name="connsiteY3" fmla="*/ 224497 h 423841"/>
                <a:gd name="connsiteX4" fmla="*/ 2325112 w 2456308"/>
                <a:gd name="connsiteY4" fmla="*/ 227381 h 423841"/>
                <a:gd name="connsiteX5" fmla="*/ 2396550 w 2456308"/>
                <a:gd name="connsiteY5" fmla="*/ 259753 h 423841"/>
                <a:gd name="connsiteX6" fmla="*/ 2401314 w 2456308"/>
                <a:gd name="connsiteY6" fmla="*/ 346083 h 423841"/>
                <a:gd name="connsiteX7" fmla="*/ 2456308 w 2456308"/>
                <a:gd name="connsiteY7" fmla="*/ 364760 h 423841"/>
                <a:gd name="connsiteX8" fmla="*/ 2448938 w 2456308"/>
                <a:gd name="connsiteY8" fmla="*/ 423841 h 423841"/>
                <a:gd name="connsiteX9" fmla="*/ 0 w 2456308"/>
                <a:gd name="connsiteY9" fmla="*/ 418956 h 423841"/>
                <a:gd name="connsiteX10" fmla="*/ 4 w 2456308"/>
                <a:gd name="connsiteY10" fmla="*/ 320144 h 423841"/>
                <a:gd name="connsiteX11" fmla="*/ 2 w 2456308"/>
                <a:gd name="connsiteY11" fmla="*/ 231301 h 423841"/>
                <a:gd name="connsiteX12" fmla="*/ 400595 w 2456308"/>
                <a:gd name="connsiteY12" fmla="*/ 0 h 423841"/>
                <a:gd name="connsiteX13" fmla="*/ 1751768 w 2456308"/>
                <a:gd name="connsiteY13" fmla="*/ 1304 h 423841"/>
                <a:gd name="connsiteX0" fmla="*/ 1751768 w 2456308"/>
                <a:gd name="connsiteY0" fmla="*/ 1304 h 423841"/>
                <a:gd name="connsiteX1" fmla="*/ 1860843 w 2456308"/>
                <a:gd name="connsiteY1" fmla="*/ 91019 h 423841"/>
                <a:gd name="connsiteX2" fmla="*/ 2077460 w 2456308"/>
                <a:gd name="connsiteY2" fmla="*/ 95370 h 423841"/>
                <a:gd name="connsiteX3" fmla="*/ 2177476 w 2456308"/>
                <a:gd name="connsiteY3" fmla="*/ 224497 h 423841"/>
                <a:gd name="connsiteX4" fmla="*/ 2396550 w 2456308"/>
                <a:gd name="connsiteY4" fmla="*/ 259753 h 423841"/>
                <a:gd name="connsiteX5" fmla="*/ 2401314 w 2456308"/>
                <a:gd name="connsiteY5" fmla="*/ 346083 h 423841"/>
                <a:gd name="connsiteX6" fmla="*/ 2456308 w 2456308"/>
                <a:gd name="connsiteY6" fmla="*/ 364760 h 423841"/>
                <a:gd name="connsiteX7" fmla="*/ 2448938 w 2456308"/>
                <a:gd name="connsiteY7" fmla="*/ 423841 h 423841"/>
                <a:gd name="connsiteX8" fmla="*/ 0 w 2456308"/>
                <a:gd name="connsiteY8" fmla="*/ 418956 h 423841"/>
                <a:gd name="connsiteX9" fmla="*/ 4 w 2456308"/>
                <a:gd name="connsiteY9" fmla="*/ 320144 h 423841"/>
                <a:gd name="connsiteX10" fmla="*/ 2 w 2456308"/>
                <a:gd name="connsiteY10" fmla="*/ 231301 h 423841"/>
                <a:gd name="connsiteX11" fmla="*/ 400595 w 2456308"/>
                <a:gd name="connsiteY11" fmla="*/ 0 h 423841"/>
                <a:gd name="connsiteX12" fmla="*/ 1751768 w 2456308"/>
                <a:gd name="connsiteY12" fmla="*/ 1304 h 423841"/>
                <a:gd name="connsiteX0" fmla="*/ 1751768 w 2456308"/>
                <a:gd name="connsiteY0" fmla="*/ 1304 h 423841"/>
                <a:gd name="connsiteX1" fmla="*/ 1860843 w 2456308"/>
                <a:gd name="connsiteY1" fmla="*/ 91019 h 423841"/>
                <a:gd name="connsiteX2" fmla="*/ 2077460 w 2456308"/>
                <a:gd name="connsiteY2" fmla="*/ 95370 h 423841"/>
                <a:gd name="connsiteX3" fmla="*/ 2320709 w 2456308"/>
                <a:gd name="connsiteY3" fmla="*/ 104066 h 423841"/>
                <a:gd name="connsiteX4" fmla="*/ 2396550 w 2456308"/>
                <a:gd name="connsiteY4" fmla="*/ 259753 h 423841"/>
                <a:gd name="connsiteX5" fmla="*/ 2401314 w 2456308"/>
                <a:gd name="connsiteY5" fmla="*/ 346083 h 423841"/>
                <a:gd name="connsiteX6" fmla="*/ 2456308 w 2456308"/>
                <a:gd name="connsiteY6" fmla="*/ 364760 h 423841"/>
                <a:gd name="connsiteX7" fmla="*/ 2448938 w 2456308"/>
                <a:gd name="connsiteY7" fmla="*/ 423841 h 423841"/>
                <a:gd name="connsiteX8" fmla="*/ 0 w 2456308"/>
                <a:gd name="connsiteY8" fmla="*/ 418956 h 423841"/>
                <a:gd name="connsiteX9" fmla="*/ 4 w 2456308"/>
                <a:gd name="connsiteY9" fmla="*/ 320144 h 423841"/>
                <a:gd name="connsiteX10" fmla="*/ 2 w 2456308"/>
                <a:gd name="connsiteY10" fmla="*/ 231301 h 423841"/>
                <a:gd name="connsiteX11" fmla="*/ 400595 w 2456308"/>
                <a:gd name="connsiteY11" fmla="*/ 0 h 423841"/>
                <a:gd name="connsiteX12" fmla="*/ 1751768 w 2456308"/>
                <a:gd name="connsiteY12" fmla="*/ 1304 h 423841"/>
                <a:gd name="connsiteX0" fmla="*/ 1751768 w 2456308"/>
                <a:gd name="connsiteY0" fmla="*/ 1304 h 423841"/>
                <a:gd name="connsiteX1" fmla="*/ 1860843 w 2456308"/>
                <a:gd name="connsiteY1" fmla="*/ 91019 h 423841"/>
                <a:gd name="connsiteX2" fmla="*/ 2077460 w 2456308"/>
                <a:gd name="connsiteY2" fmla="*/ 95370 h 423841"/>
                <a:gd name="connsiteX3" fmla="*/ 2320709 w 2456308"/>
                <a:gd name="connsiteY3" fmla="*/ 104066 h 423841"/>
                <a:gd name="connsiteX4" fmla="*/ 2396550 w 2456308"/>
                <a:gd name="connsiteY4" fmla="*/ 259753 h 423841"/>
                <a:gd name="connsiteX5" fmla="*/ 2401314 w 2456308"/>
                <a:gd name="connsiteY5" fmla="*/ 346083 h 423841"/>
                <a:gd name="connsiteX6" fmla="*/ 2456308 w 2456308"/>
                <a:gd name="connsiteY6" fmla="*/ 364760 h 423841"/>
                <a:gd name="connsiteX7" fmla="*/ 2448938 w 2456308"/>
                <a:gd name="connsiteY7" fmla="*/ 423841 h 423841"/>
                <a:gd name="connsiteX8" fmla="*/ 0 w 2456308"/>
                <a:gd name="connsiteY8" fmla="*/ 418956 h 423841"/>
                <a:gd name="connsiteX9" fmla="*/ 4 w 2456308"/>
                <a:gd name="connsiteY9" fmla="*/ 320144 h 423841"/>
                <a:gd name="connsiteX10" fmla="*/ 2 w 2456308"/>
                <a:gd name="connsiteY10" fmla="*/ 231301 h 423841"/>
                <a:gd name="connsiteX11" fmla="*/ 400595 w 2456308"/>
                <a:gd name="connsiteY11" fmla="*/ 0 h 423841"/>
                <a:gd name="connsiteX12" fmla="*/ 1751768 w 2456308"/>
                <a:gd name="connsiteY12" fmla="*/ 1304 h 423841"/>
                <a:gd name="connsiteX0" fmla="*/ 1751768 w 2456308"/>
                <a:gd name="connsiteY0" fmla="*/ 1304 h 423841"/>
                <a:gd name="connsiteX1" fmla="*/ 1860843 w 2456308"/>
                <a:gd name="connsiteY1" fmla="*/ 91019 h 423841"/>
                <a:gd name="connsiteX2" fmla="*/ 1885897 w 2456308"/>
                <a:gd name="connsiteY2" fmla="*/ 245122 h 423841"/>
                <a:gd name="connsiteX3" fmla="*/ 2077460 w 2456308"/>
                <a:gd name="connsiteY3" fmla="*/ 95370 h 423841"/>
                <a:gd name="connsiteX4" fmla="*/ 2320709 w 2456308"/>
                <a:gd name="connsiteY4" fmla="*/ 104066 h 423841"/>
                <a:gd name="connsiteX5" fmla="*/ 2396550 w 2456308"/>
                <a:gd name="connsiteY5" fmla="*/ 259753 h 423841"/>
                <a:gd name="connsiteX6" fmla="*/ 2401314 w 2456308"/>
                <a:gd name="connsiteY6" fmla="*/ 346083 h 423841"/>
                <a:gd name="connsiteX7" fmla="*/ 2456308 w 2456308"/>
                <a:gd name="connsiteY7" fmla="*/ 364760 h 423841"/>
                <a:gd name="connsiteX8" fmla="*/ 2448938 w 2456308"/>
                <a:gd name="connsiteY8" fmla="*/ 423841 h 423841"/>
                <a:gd name="connsiteX9" fmla="*/ 0 w 2456308"/>
                <a:gd name="connsiteY9" fmla="*/ 418956 h 423841"/>
                <a:gd name="connsiteX10" fmla="*/ 4 w 2456308"/>
                <a:gd name="connsiteY10" fmla="*/ 320144 h 423841"/>
                <a:gd name="connsiteX11" fmla="*/ 2 w 2456308"/>
                <a:gd name="connsiteY11" fmla="*/ 231301 h 423841"/>
                <a:gd name="connsiteX12" fmla="*/ 400595 w 2456308"/>
                <a:gd name="connsiteY12" fmla="*/ 0 h 423841"/>
                <a:gd name="connsiteX13" fmla="*/ 1751768 w 2456308"/>
                <a:gd name="connsiteY13" fmla="*/ 1304 h 423841"/>
                <a:gd name="connsiteX0" fmla="*/ 1751768 w 2456308"/>
                <a:gd name="connsiteY0" fmla="*/ 1304 h 423841"/>
                <a:gd name="connsiteX1" fmla="*/ 1860843 w 2456308"/>
                <a:gd name="connsiteY1" fmla="*/ 91019 h 423841"/>
                <a:gd name="connsiteX2" fmla="*/ 1885897 w 2456308"/>
                <a:gd name="connsiteY2" fmla="*/ 245122 h 423841"/>
                <a:gd name="connsiteX3" fmla="*/ 1919904 w 2456308"/>
                <a:gd name="connsiteY3" fmla="*/ 97344 h 423841"/>
                <a:gd name="connsiteX4" fmla="*/ 2320709 w 2456308"/>
                <a:gd name="connsiteY4" fmla="*/ 104066 h 423841"/>
                <a:gd name="connsiteX5" fmla="*/ 2396550 w 2456308"/>
                <a:gd name="connsiteY5" fmla="*/ 259753 h 423841"/>
                <a:gd name="connsiteX6" fmla="*/ 2401314 w 2456308"/>
                <a:gd name="connsiteY6" fmla="*/ 346083 h 423841"/>
                <a:gd name="connsiteX7" fmla="*/ 2456308 w 2456308"/>
                <a:gd name="connsiteY7" fmla="*/ 364760 h 423841"/>
                <a:gd name="connsiteX8" fmla="*/ 2448938 w 2456308"/>
                <a:gd name="connsiteY8" fmla="*/ 423841 h 423841"/>
                <a:gd name="connsiteX9" fmla="*/ 0 w 2456308"/>
                <a:gd name="connsiteY9" fmla="*/ 418956 h 423841"/>
                <a:gd name="connsiteX10" fmla="*/ 4 w 2456308"/>
                <a:gd name="connsiteY10" fmla="*/ 320144 h 423841"/>
                <a:gd name="connsiteX11" fmla="*/ 2 w 2456308"/>
                <a:gd name="connsiteY11" fmla="*/ 231301 h 423841"/>
                <a:gd name="connsiteX12" fmla="*/ 400595 w 2456308"/>
                <a:gd name="connsiteY12" fmla="*/ 0 h 423841"/>
                <a:gd name="connsiteX13" fmla="*/ 1751768 w 2456308"/>
                <a:gd name="connsiteY13" fmla="*/ 1304 h 423841"/>
                <a:gd name="connsiteX0" fmla="*/ 1751768 w 2456308"/>
                <a:gd name="connsiteY0" fmla="*/ 1304 h 423841"/>
                <a:gd name="connsiteX1" fmla="*/ 1860843 w 2456308"/>
                <a:gd name="connsiteY1" fmla="*/ 91019 h 423841"/>
                <a:gd name="connsiteX2" fmla="*/ 1885897 w 2456308"/>
                <a:gd name="connsiteY2" fmla="*/ 245122 h 423841"/>
                <a:gd name="connsiteX3" fmla="*/ 1919317 w 2456308"/>
                <a:gd name="connsiteY3" fmla="*/ 233275 h 423841"/>
                <a:gd name="connsiteX4" fmla="*/ 1919904 w 2456308"/>
                <a:gd name="connsiteY4" fmla="*/ 97344 h 423841"/>
                <a:gd name="connsiteX5" fmla="*/ 2320709 w 2456308"/>
                <a:gd name="connsiteY5" fmla="*/ 104066 h 423841"/>
                <a:gd name="connsiteX6" fmla="*/ 2396550 w 2456308"/>
                <a:gd name="connsiteY6" fmla="*/ 259753 h 423841"/>
                <a:gd name="connsiteX7" fmla="*/ 2401314 w 2456308"/>
                <a:gd name="connsiteY7" fmla="*/ 346083 h 423841"/>
                <a:gd name="connsiteX8" fmla="*/ 2456308 w 2456308"/>
                <a:gd name="connsiteY8" fmla="*/ 364760 h 423841"/>
                <a:gd name="connsiteX9" fmla="*/ 2448938 w 2456308"/>
                <a:gd name="connsiteY9" fmla="*/ 423841 h 423841"/>
                <a:gd name="connsiteX10" fmla="*/ 0 w 2456308"/>
                <a:gd name="connsiteY10" fmla="*/ 418956 h 423841"/>
                <a:gd name="connsiteX11" fmla="*/ 4 w 2456308"/>
                <a:gd name="connsiteY11" fmla="*/ 320144 h 423841"/>
                <a:gd name="connsiteX12" fmla="*/ 2 w 2456308"/>
                <a:gd name="connsiteY12" fmla="*/ 231301 h 423841"/>
                <a:gd name="connsiteX13" fmla="*/ 400595 w 2456308"/>
                <a:gd name="connsiteY13" fmla="*/ 0 h 423841"/>
                <a:gd name="connsiteX14" fmla="*/ 1751768 w 2456308"/>
                <a:gd name="connsiteY14" fmla="*/ 1304 h 423841"/>
                <a:gd name="connsiteX0" fmla="*/ 1751768 w 2456308"/>
                <a:gd name="connsiteY0" fmla="*/ 1304 h 423841"/>
                <a:gd name="connsiteX1" fmla="*/ 1860843 w 2456308"/>
                <a:gd name="connsiteY1" fmla="*/ 91019 h 423841"/>
                <a:gd name="connsiteX2" fmla="*/ 1885897 w 2456308"/>
                <a:gd name="connsiteY2" fmla="*/ 245122 h 423841"/>
                <a:gd name="connsiteX3" fmla="*/ 1947964 w 2456308"/>
                <a:gd name="connsiteY3" fmla="*/ 245121 h 423841"/>
                <a:gd name="connsiteX4" fmla="*/ 1919904 w 2456308"/>
                <a:gd name="connsiteY4" fmla="*/ 97344 h 423841"/>
                <a:gd name="connsiteX5" fmla="*/ 2320709 w 2456308"/>
                <a:gd name="connsiteY5" fmla="*/ 104066 h 423841"/>
                <a:gd name="connsiteX6" fmla="*/ 2396550 w 2456308"/>
                <a:gd name="connsiteY6" fmla="*/ 259753 h 423841"/>
                <a:gd name="connsiteX7" fmla="*/ 2401314 w 2456308"/>
                <a:gd name="connsiteY7" fmla="*/ 346083 h 423841"/>
                <a:gd name="connsiteX8" fmla="*/ 2456308 w 2456308"/>
                <a:gd name="connsiteY8" fmla="*/ 364760 h 423841"/>
                <a:gd name="connsiteX9" fmla="*/ 2448938 w 2456308"/>
                <a:gd name="connsiteY9" fmla="*/ 423841 h 423841"/>
                <a:gd name="connsiteX10" fmla="*/ 0 w 2456308"/>
                <a:gd name="connsiteY10" fmla="*/ 418956 h 423841"/>
                <a:gd name="connsiteX11" fmla="*/ 4 w 2456308"/>
                <a:gd name="connsiteY11" fmla="*/ 320144 h 423841"/>
                <a:gd name="connsiteX12" fmla="*/ 2 w 2456308"/>
                <a:gd name="connsiteY12" fmla="*/ 231301 h 423841"/>
                <a:gd name="connsiteX13" fmla="*/ 400595 w 2456308"/>
                <a:gd name="connsiteY13" fmla="*/ 0 h 423841"/>
                <a:gd name="connsiteX14" fmla="*/ 1751768 w 2456308"/>
                <a:gd name="connsiteY14" fmla="*/ 1304 h 423841"/>
                <a:gd name="connsiteX0" fmla="*/ 1751768 w 2456308"/>
                <a:gd name="connsiteY0" fmla="*/ 1304 h 423841"/>
                <a:gd name="connsiteX1" fmla="*/ 1860843 w 2456308"/>
                <a:gd name="connsiteY1" fmla="*/ 91019 h 423841"/>
                <a:gd name="connsiteX2" fmla="*/ 1885897 w 2456308"/>
                <a:gd name="connsiteY2" fmla="*/ 245122 h 423841"/>
                <a:gd name="connsiteX3" fmla="*/ 1947964 w 2456308"/>
                <a:gd name="connsiteY3" fmla="*/ 245121 h 423841"/>
                <a:gd name="connsiteX4" fmla="*/ 1948550 w 2456308"/>
                <a:gd name="connsiteY4" fmla="*/ 97344 h 423841"/>
                <a:gd name="connsiteX5" fmla="*/ 2320709 w 2456308"/>
                <a:gd name="connsiteY5" fmla="*/ 104066 h 423841"/>
                <a:gd name="connsiteX6" fmla="*/ 2396550 w 2456308"/>
                <a:gd name="connsiteY6" fmla="*/ 259753 h 423841"/>
                <a:gd name="connsiteX7" fmla="*/ 2401314 w 2456308"/>
                <a:gd name="connsiteY7" fmla="*/ 346083 h 423841"/>
                <a:gd name="connsiteX8" fmla="*/ 2456308 w 2456308"/>
                <a:gd name="connsiteY8" fmla="*/ 364760 h 423841"/>
                <a:gd name="connsiteX9" fmla="*/ 2448938 w 2456308"/>
                <a:gd name="connsiteY9" fmla="*/ 423841 h 423841"/>
                <a:gd name="connsiteX10" fmla="*/ 0 w 2456308"/>
                <a:gd name="connsiteY10" fmla="*/ 418956 h 423841"/>
                <a:gd name="connsiteX11" fmla="*/ 4 w 2456308"/>
                <a:gd name="connsiteY11" fmla="*/ 320144 h 423841"/>
                <a:gd name="connsiteX12" fmla="*/ 2 w 2456308"/>
                <a:gd name="connsiteY12" fmla="*/ 231301 h 423841"/>
                <a:gd name="connsiteX13" fmla="*/ 400595 w 2456308"/>
                <a:gd name="connsiteY13" fmla="*/ 0 h 423841"/>
                <a:gd name="connsiteX14" fmla="*/ 1751768 w 2456308"/>
                <a:gd name="connsiteY14" fmla="*/ 1304 h 423841"/>
                <a:gd name="connsiteX0" fmla="*/ 1751768 w 2456308"/>
                <a:gd name="connsiteY0" fmla="*/ 1304 h 423841"/>
                <a:gd name="connsiteX1" fmla="*/ 1860843 w 2456308"/>
                <a:gd name="connsiteY1" fmla="*/ 91019 h 423841"/>
                <a:gd name="connsiteX2" fmla="*/ 1885897 w 2456308"/>
                <a:gd name="connsiteY2" fmla="*/ 245122 h 423841"/>
                <a:gd name="connsiteX3" fmla="*/ 1947964 w 2456308"/>
                <a:gd name="connsiteY3" fmla="*/ 245121 h 423841"/>
                <a:gd name="connsiteX4" fmla="*/ 1962873 w 2456308"/>
                <a:gd name="connsiteY4" fmla="*/ 105241 h 423841"/>
                <a:gd name="connsiteX5" fmla="*/ 2320709 w 2456308"/>
                <a:gd name="connsiteY5" fmla="*/ 104066 h 423841"/>
                <a:gd name="connsiteX6" fmla="*/ 2396550 w 2456308"/>
                <a:gd name="connsiteY6" fmla="*/ 259753 h 423841"/>
                <a:gd name="connsiteX7" fmla="*/ 2401314 w 2456308"/>
                <a:gd name="connsiteY7" fmla="*/ 346083 h 423841"/>
                <a:gd name="connsiteX8" fmla="*/ 2456308 w 2456308"/>
                <a:gd name="connsiteY8" fmla="*/ 364760 h 423841"/>
                <a:gd name="connsiteX9" fmla="*/ 2448938 w 2456308"/>
                <a:gd name="connsiteY9" fmla="*/ 423841 h 423841"/>
                <a:gd name="connsiteX10" fmla="*/ 0 w 2456308"/>
                <a:gd name="connsiteY10" fmla="*/ 418956 h 423841"/>
                <a:gd name="connsiteX11" fmla="*/ 4 w 2456308"/>
                <a:gd name="connsiteY11" fmla="*/ 320144 h 423841"/>
                <a:gd name="connsiteX12" fmla="*/ 2 w 2456308"/>
                <a:gd name="connsiteY12" fmla="*/ 231301 h 423841"/>
                <a:gd name="connsiteX13" fmla="*/ 400595 w 2456308"/>
                <a:gd name="connsiteY13" fmla="*/ 0 h 423841"/>
                <a:gd name="connsiteX14" fmla="*/ 1751768 w 2456308"/>
                <a:gd name="connsiteY14" fmla="*/ 1304 h 423841"/>
                <a:gd name="connsiteX0" fmla="*/ 1751768 w 2456308"/>
                <a:gd name="connsiteY0" fmla="*/ 1304 h 423841"/>
                <a:gd name="connsiteX1" fmla="*/ 1860843 w 2456308"/>
                <a:gd name="connsiteY1" fmla="*/ 91019 h 423841"/>
                <a:gd name="connsiteX2" fmla="*/ 1885897 w 2456308"/>
                <a:gd name="connsiteY2" fmla="*/ 245122 h 423841"/>
                <a:gd name="connsiteX3" fmla="*/ 1962288 w 2456308"/>
                <a:gd name="connsiteY3" fmla="*/ 245121 h 423841"/>
                <a:gd name="connsiteX4" fmla="*/ 1962873 w 2456308"/>
                <a:gd name="connsiteY4" fmla="*/ 105241 h 423841"/>
                <a:gd name="connsiteX5" fmla="*/ 2320709 w 2456308"/>
                <a:gd name="connsiteY5" fmla="*/ 104066 h 423841"/>
                <a:gd name="connsiteX6" fmla="*/ 2396550 w 2456308"/>
                <a:gd name="connsiteY6" fmla="*/ 259753 h 423841"/>
                <a:gd name="connsiteX7" fmla="*/ 2401314 w 2456308"/>
                <a:gd name="connsiteY7" fmla="*/ 346083 h 423841"/>
                <a:gd name="connsiteX8" fmla="*/ 2456308 w 2456308"/>
                <a:gd name="connsiteY8" fmla="*/ 364760 h 423841"/>
                <a:gd name="connsiteX9" fmla="*/ 2448938 w 2456308"/>
                <a:gd name="connsiteY9" fmla="*/ 423841 h 423841"/>
                <a:gd name="connsiteX10" fmla="*/ 0 w 2456308"/>
                <a:gd name="connsiteY10" fmla="*/ 418956 h 423841"/>
                <a:gd name="connsiteX11" fmla="*/ 4 w 2456308"/>
                <a:gd name="connsiteY11" fmla="*/ 320144 h 423841"/>
                <a:gd name="connsiteX12" fmla="*/ 2 w 2456308"/>
                <a:gd name="connsiteY12" fmla="*/ 231301 h 423841"/>
                <a:gd name="connsiteX13" fmla="*/ 400595 w 2456308"/>
                <a:gd name="connsiteY13" fmla="*/ 0 h 423841"/>
                <a:gd name="connsiteX14" fmla="*/ 1751768 w 2456308"/>
                <a:gd name="connsiteY14" fmla="*/ 1304 h 423841"/>
                <a:gd name="connsiteX0" fmla="*/ 1751768 w 2456308"/>
                <a:gd name="connsiteY0" fmla="*/ 1304 h 423841"/>
                <a:gd name="connsiteX1" fmla="*/ 1860843 w 2456308"/>
                <a:gd name="connsiteY1" fmla="*/ 91019 h 423841"/>
                <a:gd name="connsiteX2" fmla="*/ 1885897 w 2456308"/>
                <a:gd name="connsiteY2" fmla="*/ 251045 h 423841"/>
                <a:gd name="connsiteX3" fmla="*/ 1962288 w 2456308"/>
                <a:gd name="connsiteY3" fmla="*/ 245121 h 423841"/>
                <a:gd name="connsiteX4" fmla="*/ 1962873 w 2456308"/>
                <a:gd name="connsiteY4" fmla="*/ 105241 h 423841"/>
                <a:gd name="connsiteX5" fmla="*/ 2320709 w 2456308"/>
                <a:gd name="connsiteY5" fmla="*/ 104066 h 423841"/>
                <a:gd name="connsiteX6" fmla="*/ 2396550 w 2456308"/>
                <a:gd name="connsiteY6" fmla="*/ 259753 h 423841"/>
                <a:gd name="connsiteX7" fmla="*/ 2401314 w 2456308"/>
                <a:gd name="connsiteY7" fmla="*/ 346083 h 423841"/>
                <a:gd name="connsiteX8" fmla="*/ 2456308 w 2456308"/>
                <a:gd name="connsiteY8" fmla="*/ 364760 h 423841"/>
                <a:gd name="connsiteX9" fmla="*/ 2448938 w 2456308"/>
                <a:gd name="connsiteY9" fmla="*/ 423841 h 423841"/>
                <a:gd name="connsiteX10" fmla="*/ 0 w 2456308"/>
                <a:gd name="connsiteY10" fmla="*/ 418956 h 423841"/>
                <a:gd name="connsiteX11" fmla="*/ 4 w 2456308"/>
                <a:gd name="connsiteY11" fmla="*/ 320144 h 423841"/>
                <a:gd name="connsiteX12" fmla="*/ 2 w 2456308"/>
                <a:gd name="connsiteY12" fmla="*/ 231301 h 423841"/>
                <a:gd name="connsiteX13" fmla="*/ 400595 w 2456308"/>
                <a:gd name="connsiteY13" fmla="*/ 0 h 423841"/>
                <a:gd name="connsiteX14" fmla="*/ 1751768 w 2456308"/>
                <a:gd name="connsiteY14" fmla="*/ 1304 h 423841"/>
                <a:gd name="connsiteX0" fmla="*/ 1751768 w 2456308"/>
                <a:gd name="connsiteY0" fmla="*/ 1304 h 423841"/>
                <a:gd name="connsiteX1" fmla="*/ 1860843 w 2456308"/>
                <a:gd name="connsiteY1" fmla="*/ 91019 h 423841"/>
                <a:gd name="connsiteX2" fmla="*/ 1885897 w 2456308"/>
                <a:gd name="connsiteY2" fmla="*/ 251045 h 423841"/>
                <a:gd name="connsiteX3" fmla="*/ 1962288 w 2456308"/>
                <a:gd name="connsiteY3" fmla="*/ 245121 h 423841"/>
                <a:gd name="connsiteX4" fmla="*/ 1962873 w 2456308"/>
                <a:gd name="connsiteY4" fmla="*/ 105241 h 423841"/>
                <a:gd name="connsiteX5" fmla="*/ 2320709 w 2456308"/>
                <a:gd name="connsiteY5" fmla="*/ 104066 h 423841"/>
                <a:gd name="connsiteX6" fmla="*/ 2396550 w 2456308"/>
                <a:gd name="connsiteY6" fmla="*/ 259753 h 423841"/>
                <a:gd name="connsiteX7" fmla="*/ 2401314 w 2456308"/>
                <a:gd name="connsiteY7" fmla="*/ 346083 h 423841"/>
                <a:gd name="connsiteX8" fmla="*/ 2456308 w 2456308"/>
                <a:gd name="connsiteY8" fmla="*/ 364760 h 423841"/>
                <a:gd name="connsiteX9" fmla="*/ 2448938 w 2456308"/>
                <a:gd name="connsiteY9" fmla="*/ 423841 h 423841"/>
                <a:gd name="connsiteX10" fmla="*/ 0 w 2456308"/>
                <a:gd name="connsiteY10" fmla="*/ 418956 h 423841"/>
                <a:gd name="connsiteX11" fmla="*/ 4 w 2456308"/>
                <a:gd name="connsiteY11" fmla="*/ 320144 h 423841"/>
                <a:gd name="connsiteX12" fmla="*/ 2 w 2456308"/>
                <a:gd name="connsiteY12" fmla="*/ 231301 h 423841"/>
                <a:gd name="connsiteX13" fmla="*/ 400595 w 2456308"/>
                <a:gd name="connsiteY13" fmla="*/ 0 h 423841"/>
                <a:gd name="connsiteX14" fmla="*/ 1751768 w 2456308"/>
                <a:gd name="connsiteY14" fmla="*/ 1304 h 423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2456308" h="423841">
                  <a:moveTo>
                    <a:pt x="1751768" y="1304"/>
                  </a:moveTo>
                  <a:lnTo>
                    <a:pt x="1860843" y="91019"/>
                  </a:lnTo>
                  <a:cubicBezTo>
                    <a:pt x="1883517" y="91055"/>
                    <a:pt x="1863222" y="245086"/>
                    <a:pt x="1885897" y="251045"/>
                  </a:cubicBezTo>
                  <a:cubicBezTo>
                    <a:pt x="1890671" y="229328"/>
                    <a:pt x="1957514" y="266838"/>
                    <a:pt x="1962288" y="245121"/>
                  </a:cubicBezTo>
                  <a:cubicBezTo>
                    <a:pt x="1962484" y="199811"/>
                    <a:pt x="1962677" y="150551"/>
                    <a:pt x="1962873" y="105241"/>
                  </a:cubicBezTo>
                  <a:lnTo>
                    <a:pt x="2320709" y="104066"/>
                  </a:lnTo>
                  <a:lnTo>
                    <a:pt x="2396550" y="259753"/>
                  </a:lnTo>
                  <a:lnTo>
                    <a:pt x="2401314" y="346083"/>
                  </a:lnTo>
                  <a:cubicBezTo>
                    <a:pt x="2405358" y="354934"/>
                    <a:pt x="2452264" y="355909"/>
                    <a:pt x="2456308" y="364760"/>
                  </a:cubicBezTo>
                  <a:lnTo>
                    <a:pt x="2448938" y="423841"/>
                  </a:lnTo>
                  <a:lnTo>
                    <a:pt x="0" y="418956"/>
                  </a:lnTo>
                  <a:cubicBezTo>
                    <a:pt x="1" y="386019"/>
                    <a:pt x="3" y="353081"/>
                    <a:pt x="4" y="320144"/>
                  </a:cubicBezTo>
                  <a:cubicBezTo>
                    <a:pt x="3" y="290530"/>
                    <a:pt x="3" y="260915"/>
                    <a:pt x="2" y="231301"/>
                  </a:cubicBezTo>
                  <a:cubicBezTo>
                    <a:pt x="67563" y="178273"/>
                    <a:pt x="176272" y="36029"/>
                    <a:pt x="400595" y="0"/>
                  </a:cubicBezTo>
                  <a:lnTo>
                    <a:pt x="1751768" y="1304"/>
                  </a:lnTo>
                  <a:close/>
                </a:path>
              </a:pathLst>
            </a:cu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64" name="Freeform 63"/>
            <xdr:cNvSpPr/>
          </xdr:nvSpPr>
          <xdr:spPr>
            <a:xfrm>
              <a:off x="8634416" y="1922667"/>
              <a:ext cx="99992" cy="125891"/>
            </a:xfrm>
            <a:custGeom>
              <a:avLst/>
              <a:gdLst>
                <a:gd name="connsiteX0" fmla="*/ 64294 w 147638"/>
                <a:gd name="connsiteY0" fmla="*/ 0 h 102393"/>
                <a:gd name="connsiteX1" fmla="*/ 147638 w 147638"/>
                <a:gd name="connsiteY1" fmla="*/ 102393 h 102393"/>
                <a:gd name="connsiteX2" fmla="*/ 0 w 147638"/>
                <a:gd name="connsiteY2" fmla="*/ 97631 h 102393"/>
                <a:gd name="connsiteX3" fmla="*/ 0 w 147638"/>
                <a:gd name="connsiteY3" fmla="*/ 2381 h 102393"/>
                <a:gd name="connsiteX4" fmla="*/ 64294 w 147638"/>
                <a:gd name="connsiteY4" fmla="*/ 0 h 102393"/>
                <a:gd name="connsiteX0" fmla="*/ 64294 w 147638"/>
                <a:gd name="connsiteY0" fmla="*/ 0 h 104775"/>
                <a:gd name="connsiteX1" fmla="*/ 147638 w 147638"/>
                <a:gd name="connsiteY1" fmla="*/ 102393 h 104775"/>
                <a:gd name="connsiteX2" fmla="*/ 2382 w 147638"/>
                <a:gd name="connsiteY2" fmla="*/ 104775 h 104775"/>
                <a:gd name="connsiteX3" fmla="*/ 0 w 147638"/>
                <a:gd name="connsiteY3" fmla="*/ 2381 h 104775"/>
                <a:gd name="connsiteX4" fmla="*/ 64294 w 147638"/>
                <a:gd name="connsiteY4" fmla="*/ 0 h 104775"/>
                <a:gd name="connsiteX0" fmla="*/ 64294 w 157163"/>
                <a:gd name="connsiteY0" fmla="*/ 0 h 104775"/>
                <a:gd name="connsiteX1" fmla="*/ 157163 w 157163"/>
                <a:gd name="connsiteY1" fmla="*/ 102393 h 104775"/>
                <a:gd name="connsiteX2" fmla="*/ 2382 w 157163"/>
                <a:gd name="connsiteY2" fmla="*/ 104775 h 104775"/>
                <a:gd name="connsiteX3" fmla="*/ 0 w 157163"/>
                <a:gd name="connsiteY3" fmla="*/ 2381 h 104775"/>
                <a:gd name="connsiteX4" fmla="*/ 64294 w 157163"/>
                <a:gd name="connsiteY4" fmla="*/ 0 h 104775"/>
                <a:gd name="connsiteX0" fmla="*/ 66674 w 159543"/>
                <a:gd name="connsiteY0" fmla="*/ 0 h 102393"/>
                <a:gd name="connsiteX1" fmla="*/ 159543 w 159543"/>
                <a:gd name="connsiteY1" fmla="*/ 102393 h 102393"/>
                <a:gd name="connsiteX2" fmla="*/ 0 w 159543"/>
                <a:gd name="connsiteY2" fmla="*/ 80962 h 102393"/>
                <a:gd name="connsiteX3" fmla="*/ 2380 w 159543"/>
                <a:gd name="connsiteY3" fmla="*/ 2381 h 102393"/>
                <a:gd name="connsiteX4" fmla="*/ 66674 w 159543"/>
                <a:gd name="connsiteY4" fmla="*/ 0 h 102393"/>
                <a:gd name="connsiteX0" fmla="*/ 66674 w 142874"/>
                <a:gd name="connsiteY0" fmla="*/ 0 h 88105"/>
                <a:gd name="connsiteX1" fmla="*/ 142874 w 142874"/>
                <a:gd name="connsiteY1" fmla="*/ 88105 h 88105"/>
                <a:gd name="connsiteX2" fmla="*/ 0 w 142874"/>
                <a:gd name="connsiteY2" fmla="*/ 80962 h 88105"/>
                <a:gd name="connsiteX3" fmla="*/ 2380 w 142874"/>
                <a:gd name="connsiteY3" fmla="*/ 2381 h 88105"/>
                <a:gd name="connsiteX4" fmla="*/ 66674 w 142874"/>
                <a:gd name="connsiteY4" fmla="*/ 0 h 88105"/>
                <a:gd name="connsiteX0" fmla="*/ 66674 w 145256"/>
                <a:gd name="connsiteY0" fmla="*/ 0 h 80962"/>
                <a:gd name="connsiteX1" fmla="*/ 145256 w 145256"/>
                <a:gd name="connsiteY1" fmla="*/ 80961 h 80962"/>
                <a:gd name="connsiteX2" fmla="*/ 0 w 145256"/>
                <a:gd name="connsiteY2" fmla="*/ 80962 h 80962"/>
                <a:gd name="connsiteX3" fmla="*/ 2380 w 145256"/>
                <a:gd name="connsiteY3" fmla="*/ 2381 h 80962"/>
                <a:gd name="connsiteX4" fmla="*/ 66674 w 145256"/>
                <a:gd name="connsiteY4" fmla="*/ 0 h 80962"/>
                <a:gd name="connsiteX0" fmla="*/ 66674 w 85725"/>
                <a:gd name="connsiteY0" fmla="*/ 0 h 88105"/>
                <a:gd name="connsiteX1" fmla="*/ 85725 w 85725"/>
                <a:gd name="connsiteY1" fmla="*/ 88105 h 88105"/>
                <a:gd name="connsiteX2" fmla="*/ 0 w 85725"/>
                <a:gd name="connsiteY2" fmla="*/ 80962 h 88105"/>
                <a:gd name="connsiteX3" fmla="*/ 2380 w 85725"/>
                <a:gd name="connsiteY3" fmla="*/ 2381 h 88105"/>
                <a:gd name="connsiteX4" fmla="*/ 66674 w 85725"/>
                <a:gd name="connsiteY4" fmla="*/ 0 h 88105"/>
                <a:gd name="connsiteX0" fmla="*/ 66674 w 92869"/>
                <a:gd name="connsiteY0" fmla="*/ 0 h 88105"/>
                <a:gd name="connsiteX1" fmla="*/ 92869 w 92869"/>
                <a:gd name="connsiteY1" fmla="*/ 88105 h 88105"/>
                <a:gd name="connsiteX2" fmla="*/ 0 w 92869"/>
                <a:gd name="connsiteY2" fmla="*/ 80962 h 88105"/>
                <a:gd name="connsiteX3" fmla="*/ 2380 w 92869"/>
                <a:gd name="connsiteY3" fmla="*/ 2381 h 88105"/>
                <a:gd name="connsiteX4" fmla="*/ 66674 w 92869"/>
                <a:gd name="connsiteY4" fmla="*/ 0 h 88105"/>
                <a:gd name="connsiteX0" fmla="*/ 66674 w 90487"/>
                <a:gd name="connsiteY0" fmla="*/ 0 h 80962"/>
                <a:gd name="connsiteX1" fmla="*/ 90487 w 90487"/>
                <a:gd name="connsiteY1" fmla="*/ 78580 h 80962"/>
                <a:gd name="connsiteX2" fmla="*/ 0 w 90487"/>
                <a:gd name="connsiteY2" fmla="*/ 80962 h 80962"/>
                <a:gd name="connsiteX3" fmla="*/ 2380 w 90487"/>
                <a:gd name="connsiteY3" fmla="*/ 2381 h 80962"/>
                <a:gd name="connsiteX4" fmla="*/ 66674 w 90487"/>
                <a:gd name="connsiteY4" fmla="*/ 0 h 80962"/>
                <a:gd name="connsiteX0" fmla="*/ 66904 w 90717"/>
                <a:gd name="connsiteY0" fmla="*/ 0 h 80962"/>
                <a:gd name="connsiteX1" fmla="*/ 90717 w 90717"/>
                <a:gd name="connsiteY1" fmla="*/ 78580 h 80962"/>
                <a:gd name="connsiteX2" fmla="*/ 230 w 90717"/>
                <a:gd name="connsiteY2" fmla="*/ 80962 h 80962"/>
                <a:gd name="connsiteX3" fmla="*/ 228 w 90717"/>
                <a:gd name="connsiteY3" fmla="*/ 0 h 80962"/>
                <a:gd name="connsiteX4" fmla="*/ 66904 w 90717"/>
                <a:gd name="connsiteY4" fmla="*/ 0 h 80962"/>
                <a:gd name="connsiteX0" fmla="*/ 66904 w 109767"/>
                <a:gd name="connsiteY0" fmla="*/ 0 h 126205"/>
                <a:gd name="connsiteX1" fmla="*/ 109767 w 109767"/>
                <a:gd name="connsiteY1" fmla="*/ 126205 h 126205"/>
                <a:gd name="connsiteX2" fmla="*/ 230 w 109767"/>
                <a:gd name="connsiteY2" fmla="*/ 80962 h 126205"/>
                <a:gd name="connsiteX3" fmla="*/ 228 w 109767"/>
                <a:gd name="connsiteY3" fmla="*/ 0 h 126205"/>
                <a:gd name="connsiteX4" fmla="*/ 66904 w 109767"/>
                <a:gd name="connsiteY4" fmla="*/ 0 h 126205"/>
                <a:gd name="connsiteX0" fmla="*/ 66904 w 109767"/>
                <a:gd name="connsiteY0" fmla="*/ 0 h 126205"/>
                <a:gd name="connsiteX1" fmla="*/ 109767 w 109767"/>
                <a:gd name="connsiteY1" fmla="*/ 126205 h 126205"/>
                <a:gd name="connsiteX2" fmla="*/ 230 w 109767"/>
                <a:gd name="connsiteY2" fmla="*/ 116681 h 126205"/>
                <a:gd name="connsiteX3" fmla="*/ 228 w 109767"/>
                <a:gd name="connsiteY3" fmla="*/ 0 h 126205"/>
                <a:gd name="connsiteX4" fmla="*/ 66904 w 109767"/>
                <a:gd name="connsiteY4" fmla="*/ 0 h 126205"/>
                <a:gd name="connsiteX0" fmla="*/ 66904 w 109767"/>
                <a:gd name="connsiteY0" fmla="*/ 0 h 133350"/>
                <a:gd name="connsiteX1" fmla="*/ 109767 w 109767"/>
                <a:gd name="connsiteY1" fmla="*/ 126205 h 133350"/>
                <a:gd name="connsiteX2" fmla="*/ 230 w 109767"/>
                <a:gd name="connsiteY2" fmla="*/ 133350 h 133350"/>
                <a:gd name="connsiteX3" fmla="*/ 228 w 109767"/>
                <a:gd name="connsiteY3" fmla="*/ 0 h 133350"/>
                <a:gd name="connsiteX4" fmla="*/ 66904 w 109767"/>
                <a:gd name="connsiteY4" fmla="*/ 0 h 133350"/>
                <a:gd name="connsiteX0" fmla="*/ 66904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66904 w 109767"/>
                <a:gd name="connsiteY4" fmla="*/ 0 h 126206"/>
                <a:gd name="connsiteX0" fmla="*/ 74047 w 109767"/>
                <a:gd name="connsiteY0" fmla="*/ 0 h 126206"/>
                <a:gd name="connsiteX1" fmla="*/ 109767 w 109767"/>
                <a:gd name="connsiteY1" fmla="*/ 126205 h 126206"/>
                <a:gd name="connsiteX2" fmla="*/ 230 w 109767"/>
                <a:gd name="connsiteY2" fmla="*/ 126206 h 126206"/>
                <a:gd name="connsiteX3" fmla="*/ 228 w 109767"/>
                <a:gd name="connsiteY3" fmla="*/ 0 h 126206"/>
                <a:gd name="connsiteX4" fmla="*/ 74047 w 109767"/>
                <a:gd name="connsiteY4" fmla="*/ 0 h 126206"/>
                <a:gd name="connsiteX0" fmla="*/ 74047 w 100242"/>
                <a:gd name="connsiteY0" fmla="*/ 0 h 126206"/>
                <a:gd name="connsiteX1" fmla="*/ 100242 w 100242"/>
                <a:gd name="connsiteY1" fmla="*/ 126205 h 126206"/>
                <a:gd name="connsiteX2" fmla="*/ 230 w 100242"/>
                <a:gd name="connsiteY2" fmla="*/ 126206 h 126206"/>
                <a:gd name="connsiteX3" fmla="*/ 228 w 100242"/>
                <a:gd name="connsiteY3" fmla="*/ 0 h 126206"/>
                <a:gd name="connsiteX4" fmla="*/ 74047 w 100242"/>
                <a:gd name="connsiteY4" fmla="*/ 0 h 12620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0242" h="126206">
                  <a:moveTo>
                    <a:pt x="74047" y="0"/>
                  </a:moveTo>
                  <a:lnTo>
                    <a:pt x="100242" y="126205"/>
                  </a:lnTo>
                  <a:lnTo>
                    <a:pt x="230" y="126206"/>
                  </a:lnTo>
                  <a:cubicBezTo>
                    <a:pt x="1023" y="100012"/>
                    <a:pt x="-565" y="26194"/>
                    <a:pt x="228" y="0"/>
                  </a:cubicBezTo>
                  <a:lnTo>
                    <a:pt x="74047" y="0"/>
                  </a:lnTo>
                  <a:close/>
                </a:path>
              </a:pathLst>
            </a:cu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65" name="Oval 64"/>
            <xdr:cNvSpPr/>
          </xdr:nvSpPr>
          <xdr:spPr>
            <a:xfrm>
              <a:off x="7833084" y="2215989"/>
              <a:ext cx="152019" cy="152019"/>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66" name="Straight Connector 65"/>
            <xdr:cNvCxnSpPr>
              <a:stCxn id="63" idx="13"/>
            </xdr:cNvCxnSpPr>
          </xdr:nvCxnSpPr>
          <xdr:spPr>
            <a:xfrm>
              <a:off x="7769787" y="1778419"/>
              <a:ext cx="2609" cy="35518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a:endCxn id="63" idx="10"/>
            </xdr:cNvCxnSpPr>
          </xdr:nvCxnSpPr>
          <xdr:spPr>
            <a:xfrm flipH="1">
              <a:off x="7569992" y="2133600"/>
              <a:ext cx="202411" cy="15013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a:stCxn id="63" idx="12"/>
            </xdr:cNvCxnSpPr>
          </xdr:nvCxnSpPr>
          <xdr:spPr>
            <a:xfrm>
              <a:off x="7569993" y="2057400"/>
              <a:ext cx="202410" cy="762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6" name="Group 5"/>
          <xdr:cNvGrpSpPr/>
        </xdr:nvGrpSpPr>
        <xdr:grpSpPr>
          <a:xfrm>
            <a:off x="1730680" y="2900795"/>
            <a:ext cx="802134" cy="389659"/>
            <a:chOff x="1726350" y="2671329"/>
            <a:chExt cx="805598" cy="389659"/>
          </a:xfrm>
        </xdr:grpSpPr>
        <xdr:pic>
          <xdr:nvPicPr>
            <xdr:cNvPr id="2" name="Picture 1"/>
            <xdr:cNvPicPr>
              <a:picLocks noChangeAspect="1"/>
            </xdr:cNvPicPr>
          </xdr:nvPicPr>
          <xdr:blipFill rotWithShape="1">
            <a:blip xmlns:r="http://schemas.openxmlformats.org/officeDocument/2006/relationships" r:embed="rId1"/>
            <a:srcRect l="6346" t="8527" r="3288"/>
            <a:stretch/>
          </xdr:blipFill>
          <xdr:spPr>
            <a:xfrm>
              <a:off x="1726350" y="2671329"/>
              <a:ext cx="805598" cy="389659"/>
            </a:xfrm>
            <a:prstGeom prst="rect">
              <a:avLst/>
            </a:prstGeom>
          </xdr:spPr>
        </xdr:pic>
        <xdr:sp macro="" textlink="">
          <xdr:nvSpPr>
            <xdr:cNvPr id="4" name="Oval 3"/>
            <xdr:cNvSpPr/>
          </xdr:nvSpPr>
          <xdr:spPr>
            <a:xfrm>
              <a:off x="1835727" y="2895559"/>
              <a:ext cx="148228" cy="130054"/>
            </a:xfrm>
            <a:prstGeom prst="ellipse">
              <a:avLst/>
            </a:prstGeom>
            <a:solidFill>
              <a:srgbClr val="201C1D"/>
            </a:solidFill>
            <a:ln>
              <a:solidFill>
                <a:srgbClr val="201C1D"/>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sp macro="" textlink="">
          <xdr:nvSpPr>
            <xdr:cNvPr id="104" name="Oval 103"/>
            <xdr:cNvSpPr/>
          </xdr:nvSpPr>
          <xdr:spPr>
            <a:xfrm>
              <a:off x="2336758" y="2892868"/>
              <a:ext cx="140419" cy="128259"/>
            </a:xfrm>
            <a:prstGeom prst="ellipse">
              <a:avLst/>
            </a:prstGeom>
            <a:solidFill>
              <a:srgbClr val="201C1D"/>
            </a:solidFill>
            <a:ln>
              <a:solidFill>
                <a:srgbClr val="201C1D"/>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rasil\Desktop\Bus%20Rate_calc%202016%20TB%202017-03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Rate Calculator"/>
      <sheetName val="Rates Table"/>
      <sheetName val="Fleet Input"/>
      <sheetName val="Summary"/>
      <sheetName val="SDGE AL-TOU"/>
      <sheetName val="PG&amp;E A-10, E-19"/>
      <sheetName val="MCE"/>
      <sheetName val="SCE EV4,TOU8"/>
      <sheetName val="SCE EV-6"/>
      <sheetName val="LADWP A2"/>
      <sheetName val="SMUD GS-TOU3,2"/>
      <sheetName val="MID"/>
      <sheetName val="Roseville"/>
      <sheetName val="IID"/>
      <sheetName val="TID"/>
      <sheetName val="Bus Rate_calc 2016 TB 2017-0324"/>
    </sheetNames>
    <sheetDataSet>
      <sheetData sheetId="0"/>
      <sheetData sheetId="1"/>
      <sheetData sheetId="2">
        <row r="26">
          <cell r="A26" t="str">
            <v>On-route charging up to 10/15 min (500 kW charger)</v>
          </cell>
        </row>
        <row r="27">
          <cell r="A27" t="str">
            <v>On-route charge up to 15 min (250 kW charger)</v>
          </cell>
        </row>
        <row r="28">
          <cell r="A28" t="str">
            <v>On-route charge 12 of 15 min (Two 500 kW chargers)</v>
          </cell>
        </row>
        <row r="29">
          <cell r="A29" t="str">
            <v>On-route charge up to 15 min (500 kW charger)</v>
          </cell>
        </row>
        <row r="30">
          <cell r="A30" t="str">
            <v>On-route charge up to 5/15 min (500 kW charger)</v>
          </cell>
        </row>
        <row r="31">
          <cell r="A31" t="str">
            <v>Depot charge at any time of day (80 kW charger)</v>
          </cell>
        </row>
        <row r="32">
          <cell r="A32" t="str">
            <v>Depot charge - not on-peak (60 kW charger)</v>
          </cell>
        </row>
        <row r="33">
          <cell r="A33" t="str">
            <v>Depot charge - Off-peak (60 kW charger)</v>
          </cell>
        </row>
        <row r="34">
          <cell r="A34" t="str">
            <v>Depot charge - not on-peak (80 kW charger)</v>
          </cell>
        </row>
        <row r="35">
          <cell r="A35" t="str">
            <v>User-defined Charging Strategy 1</v>
          </cell>
        </row>
        <row r="36">
          <cell r="A36" t="str">
            <v>User-defined Charging Strategy 2</v>
          </cell>
        </row>
        <row r="37">
          <cell r="A37" t="str">
            <v>User-defined Charging Strategy 3</v>
          </cell>
        </row>
        <row r="38">
          <cell r="A38" t="str">
            <v>User-defined Charging Strategy 4</v>
          </cell>
        </row>
        <row r="48">
          <cell r="AC48">
            <v>1</v>
          </cell>
          <cell r="AD48">
            <v>5</v>
          </cell>
        </row>
        <row r="49">
          <cell r="AC49">
            <v>2</v>
          </cell>
          <cell r="AD49">
            <v>10</v>
          </cell>
          <cell r="AF49">
            <v>0.33</v>
          </cell>
        </row>
        <row r="50">
          <cell r="AC50">
            <v>3</v>
          </cell>
          <cell r="AD50">
            <v>50</v>
          </cell>
          <cell r="AF50">
            <v>0.4</v>
          </cell>
        </row>
        <row r="51">
          <cell r="AC51">
            <v>4</v>
          </cell>
          <cell r="AD51">
            <v>100</v>
          </cell>
          <cell r="AF51">
            <v>0.5</v>
          </cell>
        </row>
        <row r="52">
          <cell r="AC52">
            <v>5</v>
          </cell>
          <cell r="AD52">
            <v>150</v>
          </cell>
          <cell r="AF52">
            <v>0.6</v>
          </cell>
        </row>
        <row r="53">
          <cell r="AC53">
            <v>6</v>
          </cell>
          <cell r="AD53">
            <v>200</v>
          </cell>
          <cell r="AF53">
            <v>0.7</v>
          </cell>
        </row>
        <row r="54">
          <cell r="AC54">
            <v>7</v>
          </cell>
          <cell r="AF54">
            <v>0.8</v>
          </cell>
        </row>
        <row r="55">
          <cell r="AC55">
            <v>8</v>
          </cell>
          <cell r="AF55">
            <v>0.9</v>
          </cell>
        </row>
        <row r="56">
          <cell r="AF56">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showGridLines="0" view="pageBreakPreview" zoomScaleNormal="100" zoomScaleSheetLayoutView="100" workbookViewId="0">
      <selection activeCell="S18" sqref="S18"/>
    </sheetView>
  </sheetViews>
  <sheetFormatPr defaultRowHeight="15" x14ac:dyDescent="0.25"/>
  <sheetData/>
  <pageMargins left="0.25" right="0.25" top="0.75" bottom="0.75" header="0.3" footer="0.3"/>
  <pageSetup scale="74" orientation="portrait" r:id="rId1"/>
  <rowBreaks count="1" manualBreakCount="1">
    <brk id="49" max="15" man="1"/>
  </rowBreaks>
  <colBreaks count="1" manualBreakCount="1">
    <brk id="14" max="51" man="1"/>
  </colBreaks>
  <drawing r:id="rId2"/>
  <legacyDrawing r:id="rId3"/>
  <oleObjects>
    <mc:AlternateContent xmlns:mc="http://schemas.openxmlformats.org/markup-compatibility/2006">
      <mc:Choice Requires="x14">
        <oleObject progId="Document" shapeId="4098" r:id="rId4">
          <objectPr defaultSize="0" autoPict="0" r:id="rId5">
            <anchor moveWithCells="1">
              <from>
                <xdr:col>0</xdr:col>
                <xdr:colOff>57150</xdr:colOff>
                <xdr:row>0</xdr:row>
                <xdr:rowOff>57150</xdr:rowOff>
              </from>
              <to>
                <xdr:col>13</xdr:col>
                <xdr:colOff>590550</xdr:colOff>
                <xdr:row>63</xdr:row>
                <xdr:rowOff>171450</xdr:rowOff>
              </to>
            </anchor>
          </objectPr>
        </oleObject>
      </mc:Choice>
      <mc:Fallback>
        <oleObject progId="Document" shapeId="4098" r:id="rId4"/>
      </mc:Fallback>
    </mc:AlternateContent>
  </oleObjects>
  <mc:AlternateContent xmlns:mc="http://schemas.openxmlformats.org/markup-compatibility/2006">
    <mc:Choice Requires="x14">
      <controls>
        <mc:AlternateContent xmlns:mc="http://schemas.openxmlformats.org/markup-compatibility/2006">
          <mc:Choice Requires="x14">
            <control shapeId="4097" r:id="rId6" name="Button 1">
              <controlPr defaultSize="0" print="0" autoFill="0" autoPict="0" macro="[0]!UNprotect">
                <anchor moveWithCells="1" sizeWithCells="1">
                  <from>
                    <xdr:col>14</xdr:col>
                    <xdr:colOff>28575</xdr:colOff>
                    <xdr:row>0</xdr:row>
                    <xdr:rowOff>123825</xdr:rowOff>
                  </from>
                  <to>
                    <xdr:col>16</xdr:col>
                    <xdr:colOff>38100</xdr:colOff>
                    <xdr:row>3</xdr:row>
                    <xdr:rowOff>142875</xdr:rowOff>
                  </to>
                </anchor>
              </controlPr>
            </control>
          </mc:Choice>
        </mc:AlternateContent>
        <mc:AlternateContent xmlns:mc="http://schemas.openxmlformats.org/markup-compatibility/2006">
          <mc:Choice Requires="x14">
            <control shapeId="4099" r:id="rId7" name="Button 3">
              <controlPr defaultSize="0" print="0" autoFill="0" autoPict="0" macro="[0]!Protect">
                <anchor moveWithCells="1" sizeWithCells="1">
                  <from>
                    <xdr:col>14</xdr:col>
                    <xdr:colOff>28575</xdr:colOff>
                    <xdr:row>4</xdr:row>
                    <xdr:rowOff>19050</xdr:rowOff>
                  </from>
                  <to>
                    <xdr:col>16</xdr:col>
                    <xdr:colOff>38100</xdr:colOff>
                    <xdr:row>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M49"/>
  <sheetViews>
    <sheetView showGridLines="0" tabSelected="1" zoomScaleNormal="100" workbookViewId="0">
      <selection activeCell="T1" sqref="T1"/>
    </sheetView>
  </sheetViews>
  <sheetFormatPr defaultRowHeight="12.75" x14ac:dyDescent="0.2"/>
  <cols>
    <col min="1" max="1" width="2" style="1" customWidth="1"/>
    <col min="2" max="5" width="6.85546875" style="1" customWidth="1"/>
    <col min="6" max="16" width="5.42578125" style="1" customWidth="1"/>
    <col min="17" max="20" width="6.85546875" style="1" customWidth="1"/>
    <col min="21" max="31" width="5.42578125" style="1" customWidth="1"/>
    <col min="32" max="32" width="5.42578125" style="69" customWidth="1"/>
    <col min="33" max="34" width="8.7109375" style="69" customWidth="1"/>
    <col min="35" max="35" width="3.5703125" style="1" customWidth="1"/>
    <col min="36" max="36" width="6.7109375" style="1" customWidth="1"/>
    <col min="37" max="37" width="5.7109375" style="82" customWidth="1"/>
    <col min="38" max="39" width="3.5703125" style="1" customWidth="1"/>
    <col min="40" max="16384" width="9.140625" style="1"/>
  </cols>
  <sheetData>
    <row r="1" spans="2:39" ht="26.25" x14ac:dyDescent="0.4">
      <c r="C1" s="108" t="s">
        <v>371</v>
      </c>
      <c r="AG1" s="24"/>
      <c r="AH1" s="23"/>
      <c r="AI1" s="23"/>
      <c r="AJ1" s="24"/>
      <c r="AK1" s="102"/>
      <c r="AL1" s="23"/>
      <c r="AM1" s="23"/>
    </row>
    <row r="2" spans="2:39" ht="15" x14ac:dyDescent="0.25">
      <c r="AH2" s="23"/>
      <c r="AI2" s="23"/>
      <c r="AJ2" s="23"/>
      <c r="AK2" s="102"/>
      <c r="AL2" s="23"/>
    </row>
    <row r="3" spans="2:39" ht="15" x14ac:dyDescent="0.25">
      <c r="B3" s="22" t="s">
        <v>153</v>
      </c>
      <c r="F3" s="267" t="s">
        <v>149</v>
      </c>
      <c r="G3" s="267"/>
      <c r="H3" s="267"/>
      <c r="I3" s="267"/>
      <c r="J3" s="267"/>
      <c r="K3" s="267"/>
      <c r="M3" s="145" t="s">
        <v>290</v>
      </c>
      <c r="N3" s="146"/>
      <c r="O3" s="146"/>
      <c r="P3" s="276">
        <f>MAX(X27:AC27)</f>
        <v>10400</v>
      </c>
      <c r="Q3" s="276"/>
      <c r="R3" s="147" t="s">
        <v>288</v>
      </c>
      <c r="T3" s="134" t="str">
        <f>IF(AND(MAX(X27:AC27)&gt;$S$18,MAX(X27:AC27)&lt;$U$18)=FALSE,"Demand of "&amp;MAX($X$27:$AC$27)&amp;" kW for charging "&amp;F6&amp;" vehicle(s) is not consistent with rate schedule.",IF(AND($W$18="Subscription",$F$11&lt;MAX($X$27:$AC$27)),"The selected subscription level is below anticipated demand in this scenario.",""))</f>
        <v/>
      </c>
      <c r="U3" s="89"/>
      <c r="V3" s="89"/>
      <c r="W3" s="89"/>
      <c r="X3" s="89"/>
      <c r="Y3" s="89"/>
      <c r="Z3" s="89"/>
      <c r="AA3" s="89"/>
      <c r="AB3" s="89"/>
      <c r="AC3" s="89"/>
      <c r="AD3" s="89"/>
      <c r="AE3" s="89"/>
      <c r="AF3" s="89"/>
      <c r="AH3" s="23"/>
      <c r="AI3" s="23"/>
      <c r="AJ3" s="23"/>
      <c r="AK3" s="102"/>
      <c r="AL3" s="23"/>
    </row>
    <row r="4" spans="2:39" ht="15" x14ac:dyDescent="0.25">
      <c r="B4" s="22" t="s">
        <v>3</v>
      </c>
      <c r="F4" s="278" t="s">
        <v>263</v>
      </c>
      <c r="G4" s="278"/>
      <c r="H4" s="278"/>
      <c r="I4" s="278"/>
      <c r="J4" s="278"/>
      <c r="K4" s="278"/>
      <c r="M4" s="148" t="str">
        <f>+IF(VLOOKUP($F$4,Data!G9:L16,Data!$J$8,FALSE)=0,"On-route charging","Charging time per vehicle")</f>
        <v>Charging time per vehicle</v>
      </c>
      <c r="N4" s="6"/>
      <c r="O4" s="6"/>
      <c r="P4" s="6"/>
      <c r="Q4" s="6">
        <f>+IF(VLOOKUP($F$4,Data!G9:L16,Data!$J$8,FALSE)=0,VLOOKUP($F$4,Data!G9:L16,Data!$K$8,FALSE),ROUND(E18,1))</f>
        <v>4.4000000000000004</v>
      </c>
      <c r="R4" s="149" t="str">
        <f>+IF(VLOOKUP($F$4,Data!G9:L16,Data!$J$8,FALSE)=0,"min","hrs")</f>
        <v>hrs</v>
      </c>
      <c r="T4" s="136" t="str">
        <f>IF(E18&gt;G18,"Charger rating insufficient for meeting energy needs within charging time available.","")</f>
        <v/>
      </c>
      <c r="U4" s="89"/>
      <c r="V4" s="89"/>
      <c r="W4" s="89"/>
      <c r="X4" s="89"/>
      <c r="Y4" s="89"/>
      <c r="Z4" s="89"/>
      <c r="AA4" s="89"/>
      <c r="AB4" s="89"/>
      <c r="AC4" s="89"/>
      <c r="AD4" s="89"/>
      <c r="AE4" s="89"/>
      <c r="AF4" s="89"/>
    </row>
    <row r="5" spans="2:39" ht="15" x14ac:dyDescent="0.25">
      <c r="B5" s="25" t="s">
        <v>41</v>
      </c>
      <c r="F5" s="278" t="s">
        <v>132</v>
      </c>
      <c r="G5" s="278"/>
      <c r="H5" s="278"/>
      <c r="I5" s="278"/>
      <c r="J5" s="278"/>
      <c r="K5" s="278"/>
      <c r="M5" s="57" t="s">
        <v>296</v>
      </c>
      <c r="N5" s="177"/>
      <c r="O5" s="177"/>
      <c r="P5" s="177"/>
      <c r="Q5" s="177">
        <f>+G18</f>
        <v>8</v>
      </c>
      <c r="R5" s="150" t="s">
        <v>289</v>
      </c>
      <c r="T5" s="89" t="str">
        <f>IF(M18&gt;1,"Requires "&amp;O18&amp;" charger(s) at this meter. "&amp;IF(C18&lt;1,"May be able to maximize charger use with "&amp;M18*O18&amp;" vehicles.",""),"")</f>
        <v/>
      </c>
      <c r="U5" s="89"/>
      <c r="V5" s="89"/>
      <c r="W5" s="89"/>
      <c r="X5" s="89"/>
      <c r="Y5" s="89"/>
      <c r="Z5" s="89"/>
      <c r="AA5" s="89"/>
      <c r="AB5" s="89"/>
      <c r="AC5" s="89"/>
      <c r="AD5" s="89"/>
      <c r="AE5" s="89"/>
      <c r="AF5" s="89"/>
    </row>
    <row r="6" spans="2:39" ht="15" x14ac:dyDescent="0.25">
      <c r="B6" s="25" t="s">
        <v>165</v>
      </c>
      <c r="F6" s="274">
        <v>200</v>
      </c>
      <c r="G6" s="274"/>
      <c r="H6" s="230"/>
      <c r="I6" s="231"/>
      <c r="J6" s="230"/>
      <c r="K6" s="230"/>
      <c r="T6" s="273" t="str">
        <f>IF(VLOOKUP($F$4,Data!$G$9:$L$16,Data!$J$8,FALSE)=0,"This on-route charging strategy that uses the charger for "&amp;VLOOKUP($F$4,Data!$G$9:$L$16,Data!$K$8,FALSE)&amp; " out of 15 minute intervals reduces demand to "&amp;FIXED(100*$I$18,0)&amp;"% of the maximum potential demand.",IF(VLOOKUP($F$4,Data!$G$9:$L$16,Data!L8,FALSE)="Software",IF($C$18&gt;0.75,"A managed charging strategy cannot lower demand currently. This is because the amount of time needed to charge the fleet is close to the maximum time available for charging.","A managed charging strategy can lower demand by charging "&amp; FIXED(100*$C$18+10,0) &amp;"% of your fleet at a time instead of all vehicles simultaneously or lowering charger power."),"An unmanaged charging strategy assumes that all vehicles will be plugged in simultaneously at maximum power, meaning the fleet will incur maximum demand fees."))</f>
        <v>A managed charging strategy can lower demand by charging 65% of your fleet at a time instead of all vehicles simultaneously or lowering charger power.</v>
      </c>
      <c r="U6" s="273"/>
      <c r="V6" s="273"/>
      <c r="W6" s="273"/>
      <c r="X6" s="273"/>
      <c r="Y6" s="273"/>
      <c r="Z6" s="273"/>
      <c r="AA6" s="273"/>
      <c r="AB6" s="273"/>
      <c r="AC6" s="273"/>
      <c r="AD6" s="273"/>
      <c r="AE6" s="273"/>
      <c r="AF6" s="273"/>
    </row>
    <row r="7" spans="2:39" ht="15" x14ac:dyDescent="0.25">
      <c r="B7" s="25" t="s">
        <v>166</v>
      </c>
      <c r="F7" s="277">
        <v>150</v>
      </c>
      <c r="G7" s="277"/>
      <c r="H7" s="230"/>
      <c r="I7" s="231"/>
      <c r="J7" s="230"/>
      <c r="K7" s="230"/>
      <c r="T7" s="273"/>
      <c r="U7" s="273"/>
      <c r="V7" s="273"/>
      <c r="W7" s="273"/>
      <c r="X7" s="273"/>
      <c r="Y7" s="273"/>
      <c r="Z7" s="273"/>
      <c r="AA7" s="273"/>
      <c r="AB7" s="273"/>
      <c r="AC7" s="273"/>
      <c r="AD7" s="273"/>
      <c r="AE7" s="273"/>
      <c r="AF7" s="273"/>
    </row>
    <row r="8" spans="2:39" ht="15" x14ac:dyDescent="0.25">
      <c r="B8" s="25" t="s">
        <v>223</v>
      </c>
      <c r="F8" s="274">
        <v>2.1</v>
      </c>
      <c r="G8" s="274"/>
      <c r="H8" s="230"/>
      <c r="I8" s="232"/>
      <c r="J8" s="230"/>
      <c r="K8" s="230"/>
      <c r="M8" s="280" t="s">
        <v>59</v>
      </c>
      <c r="N8" s="281"/>
      <c r="O8" s="281"/>
      <c r="P8" s="281"/>
      <c r="Q8" s="281"/>
      <c r="R8" s="282"/>
      <c r="T8" s="279" t="str">
        <f>IF(VLOOKUP($F$3,Data!$A$33:$CO$78,Data!$CO$32,FALSE)&lt;&gt;"",VLOOKUP($F$3,Data!$A$33:$CO$78,Data!$CO$32,FALSE),"")</f>
        <v/>
      </c>
      <c r="U8" s="279"/>
      <c r="V8" s="279"/>
      <c r="W8" s="279"/>
      <c r="X8" s="279"/>
      <c r="Y8" s="279"/>
      <c r="Z8" s="279"/>
      <c r="AA8" s="279"/>
      <c r="AB8" s="279"/>
      <c r="AC8" s="279"/>
      <c r="AD8" s="279"/>
      <c r="AE8" s="279"/>
      <c r="AF8" s="279"/>
    </row>
    <row r="9" spans="2:39" ht="15.75" x14ac:dyDescent="0.25">
      <c r="B9" s="25" t="s">
        <v>295</v>
      </c>
      <c r="F9" s="275">
        <v>0.9</v>
      </c>
      <c r="G9" s="275"/>
      <c r="H9" s="230"/>
      <c r="I9" s="230"/>
      <c r="J9" s="230"/>
      <c r="K9" s="230"/>
      <c r="M9" s="148"/>
      <c r="N9" s="271">
        <f>((AD31*VLOOKUP($F$3,Data!$A$33:$CN$78,Data!BZ32))+(AD46*(12-VLOOKUP($F$3,Data!$A$33:$CN$78,Data!BZ32))))/12</f>
        <v>0.11554824637002344</v>
      </c>
      <c r="O9" s="271"/>
      <c r="P9" s="226" t="s">
        <v>14</v>
      </c>
      <c r="Q9" s="226"/>
      <c r="R9" s="149"/>
      <c r="T9" s="279"/>
      <c r="U9" s="279"/>
      <c r="V9" s="279"/>
      <c r="W9" s="279"/>
      <c r="X9" s="279"/>
      <c r="Y9" s="279"/>
      <c r="Z9" s="279"/>
      <c r="AA9" s="279"/>
      <c r="AB9" s="279"/>
      <c r="AC9" s="279"/>
      <c r="AD9" s="279"/>
      <c r="AE9" s="279"/>
      <c r="AF9" s="279"/>
      <c r="AL9" s="23"/>
      <c r="AM9" s="23"/>
    </row>
    <row r="10" spans="2:39" ht="15" x14ac:dyDescent="0.25">
      <c r="B10" s="25" t="s">
        <v>353</v>
      </c>
      <c r="F10" s="275">
        <v>0.03</v>
      </c>
      <c r="G10" s="275"/>
      <c r="I10" s="40"/>
      <c r="K10" s="61"/>
      <c r="M10" s="57"/>
      <c r="N10" s="272">
        <f>+N9*F8</f>
        <v>0.24265131737704923</v>
      </c>
      <c r="O10" s="272"/>
      <c r="P10" s="227" t="s">
        <v>98</v>
      </c>
      <c r="Q10" s="227"/>
      <c r="R10" s="150"/>
      <c r="AF10" s="1"/>
      <c r="AH10" s="125"/>
    </row>
    <row r="11" spans="2:39" ht="15" x14ac:dyDescent="0.25">
      <c r="B11" s="251" t="str">
        <f>IF($W$18="Subscription","Subscription Level (kW)","")</f>
        <v/>
      </c>
      <c r="C11" s="3"/>
      <c r="D11" s="3"/>
      <c r="E11" s="3"/>
      <c r="F11" s="258"/>
      <c r="G11" s="258"/>
      <c r="H11" s="3"/>
      <c r="I11" s="218"/>
      <c r="J11" s="3"/>
      <c r="K11" s="219"/>
      <c r="L11" s="7"/>
      <c r="M11" s="220"/>
      <c r="N11" s="220"/>
      <c r="O11" s="221"/>
      <c r="P11" s="221"/>
      <c r="Q11" s="7"/>
      <c r="R11" s="3"/>
      <c r="S11" s="3"/>
      <c r="W11" s="68" t="s">
        <v>123</v>
      </c>
      <c r="Y11" s="40" t="s">
        <v>60</v>
      </c>
      <c r="Z11" s="49"/>
      <c r="AB11" s="40" t="s">
        <v>61</v>
      </c>
      <c r="AC11" s="50"/>
      <c r="AE11" s="40" t="s">
        <v>55</v>
      </c>
      <c r="AF11" s="51"/>
      <c r="AH11" s="125"/>
    </row>
    <row r="12" spans="2:39" ht="15" x14ac:dyDescent="0.25">
      <c r="B12" s="25"/>
      <c r="C12" s="3"/>
      <c r="D12" s="3"/>
      <c r="E12" s="3"/>
      <c r="F12" s="217"/>
      <c r="G12" s="217"/>
      <c r="H12" s="3"/>
      <c r="I12" s="218"/>
      <c r="J12" s="3"/>
      <c r="K12" s="219"/>
      <c r="L12" s="7"/>
      <c r="M12" s="220"/>
      <c r="N12" s="220"/>
      <c r="O12" s="221"/>
      <c r="P12" s="221"/>
      <c r="Q12" s="7"/>
      <c r="R12" s="3"/>
      <c r="S12" s="3"/>
      <c r="T12" s="3"/>
      <c r="U12" s="3"/>
      <c r="V12" s="3"/>
      <c r="W12" s="171"/>
      <c r="X12" s="3"/>
      <c r="Y12" s="218"/>
      <c r="Z12" s="2"/>
      <c r="AA12" s="3"/>
      <c r="AB12" s="218"/>
      <c r="AC12" s="2"/>
      <c r="AD12" s="3"/>
      <c r="AE12" s="218"/>
      <c r="AF12" s="2"/>
      <c r="AH12" s="125"/>
    </row>
    <row r="13" spans="2:39" ht="15" x14ac:dyDescent="0.25">
      <c r="B13" s="25"/>
      <c r="C13" s="3"/>
      <c r="D13" s="3"/>
      <c r="E13" s="3"/>
      <c r="F13" s="217"/>
      <c r="G13" s="217"/>
      <c r="H13" s="3"/>
      <c r="I13" s="218"/>
      <c r="J13" s="3"/>
      <c r="K13" s="219"/>
      <c r="L13" s="7"/>
      <c r="M13" s="220"/>
      <c r="N13" s="220"/>
      <c r="O13" s="221"/>
      <c r="P13" s="221"/>
      <c r="Q13" s="7"/>
      <c r="R13" s="3"/>
      <c r="S13" s="3"/>
      <c r="T13" s="3"/>
      <c r="U13" s="3"/>
      <c r="V13" s="3"/>
      <c r="W13" s="171"/>
      <c r="X13" s="3"/>
      <c r="Y13" s="218"/>
      <c r="Z13" s="2"/>
      <c r="AA13" s="3"/>
      <c r="AB13" s="218"/>
      <c r="AC13" s="2"/>
      <c r="AD13" s="3"/>
      <c r="AE13" s="218"/>
      <c r="AF13" s="2"/>
      <c r="AH13" s="125"/>
    </row>
    <row r="14" spans="2:39" ht="15" x14ac:dyDescent="0.25">
      <c r="B14" s="25"/>
      <c r="C14" s="3"/>
      <c r="D14" s="3"/>
      <c r="E14" s="3"/>
      <c r="F14" s="217"/>
      <c r="G14" s="217"/>
      <c r="H14" s="3"/>
      <c r="I14" s="218"/>
      <c r="J14" s="3"/>
      <c r="K14" s="219"/>
      <c r="L14" s="7"/>
      <c r="M14" s="220"/>
      <c r="N14" s="220"/>
      <c r="O14" s="221"/>
      <c r="P14" s="221"/>
      <c r="Q14" s="7"/>
      <c r="R14" s="3"/>
      <c r="S14" s="3"/>
      <c r="T14" s="3"/>
      <c r="U14" s="3"/>
      <c r="V14" s="3"/>
      <c r="W14" s="171"/>
      <c r="X14" s="3"/>
      <c r="Y14" s="218"/>
      <c r="Z14" s="2"/>
      <c r="AA14" s="3"/>
      <c r="AB14" s="218"/>
      <c r="AC14" s="2"/>
      <c r="AD14" s="3"/>
      <c r="AE14" s="218"/>
      <c r="AF14" s="2"/>
      <c r="AH14" s="125"/>
    </row>
    <row r="15" spans="2:39" ht="15" x14ac:dyDescent="0.25">
      <c r="B15" s="25"/>
      <c r="C15" s="3"/>
      <c r="D15" s="3"/>
      <c r="E15" s="3"/>
      <c r="F15" s="217"/>
      <c r="G15" s="217"/>
      <c r="H15" s="3"/>
      <c r="I15" s="218"/>
      <c r="J15" s="3"/>
      <c r="K15" s="219"/>
      <c r="L15" s="7"/>
      <c r="M15" s="220"/>
      <c r="N15" s="220"/>
      <c r="O15" s="221"/>
      <c r="P15" s="221"/>
      <c r="Q15" s="7"/>
      <c r="R15" s="3"/>
      <c r="S15" s="3"/>
      <c r="T15" s="3"/>
      <c r="U15" s="3"/>
      <c r="V15" s="3"/>
      <c r="W15" s="171"/>
      <c r="X15" s="3"/>
      <c r="Y15" s="218"/>
      <c r="Z15" s="2"/>
      <c r="AA15" s="3"/>
      <c r="AB15" s="218"/>
      <c r="AC15" s="2"/>
      <c r="AD15" s="3"/>
      <c r="AE15" s="218"/>
      <c r="AF15" s="2"/>
      <c r="AH15" s="125"/>
    </row>
    <row r="16" spans="2:39" ht="15" x14ac:dyDescent="0.25">
      <c r="B16" s="25"/>
      <c r="C16" s="3"/>
      <c r="D16" s="3"/>
      <c r="E16" s="3"/>
      <c r="F16" s="217"/>
      <c r="G16" s="217"/>
      <c r="H16" s="3"/>
      <c r="I16" s="218"/>
      <c r="J16" s="3"/>
      <c r="K16" s="219"/>
      <c r="L16" s="7"/>
      <c r="M16" s="220"/>
      <c r="N16" s="220"/>
      <c r="O16" s="221"/>
      <c r="P16" s="221"/>
      <c r="Q16" s="7"/>
      <c r="R16" s="3"/>
      <c r="S16" s="3"/>
      <c r="T16" s="3"/>
      <c r="U16" s="3"/>
      <c r="V16" s="3"/>
      <c r="W16" s="171"/>
      <c r="X16" s="3"/>
      <c r="Y16" s="218"/>
      <c r="Z16" s="2"/>
      <c r="AA16" s="3"/>
      <c r="AB16" s="218"/>
      <c r="AC16" s="2"/>
      <c r="AD16" s="3"/>
      <c r="AE16" s="218"/>
      <c r="AF16" s="2"/>
      <c r="AH16" s="125"/>
    </row>
    <row r="17" spans="2:39" ht="15" x14ac:dyDescent="0.25">
      <c r="B17" s="25"/>
      <c r="C17" s="219"/>
      <c r="D17" s="3"/>
      <c r="E17" s="3"/>
      <c r="F17" s="217"/>
      <c r="G17" s="217"/>
      <c r="H17" s="3"/>
      <c r="I17" s="218"/>
      <c r="J17" s="3"/>
      <c r="K17" s="219"/>
      <c r="L17" s="7"/>
      <c r="M17" s="220"/>
      <c r="N17" s="220"/>
      <c r="O17" s="221"/>
      <c r="P17" s="221"/>
      <c r="Q17" s="234"/>
      <c r="R17" s="3"/>
      <c r="S17" s="3"/>
      <c r="T17" s="3"/>
      <c r="U17" s="3"/>
      <c r="V17" s="3"/>
      <c r="W17" s="171"/>
      <c r="X17" s="3"/>
      <c r="Y17" s="218"/>
      <c r="Z17" s="2"/>
      <c r="AA17" s="3"/>
      <c r="AB17" s="218"/>
      <c r="AC17" s="2"/>
      <c r="AD17" s="3"/>
      <c r="AE17" s="218"/>
      <c r="AF17" s="2"/>
      <c r="AH17" s="125"/>
    </row>
    <row r="18" spans="2:39" s="138" customFormat="1" ht="13.5" thickBot="1" x14ac:dyDescent="0.25">
      <c r="B18" s="143" t="s">
        <v>122</v>
      </c>
      <c r="C18" s="240">
        <f>ROUND(2*$E18/$G18,1)/2</f>
        <v>0.55000000000000004</v>
      </c>
      <c r="D18" s="252" t="s">
        <v>292</v>
      </c>
      <c r="E18" s="245">
        <f>+$F7*$F8*$M18/($F9*$Q18)</f>
        <v>4.375</v>
      </c>
      <c r="F18" s="252" t="s">
        <v>293</v>
      </c>
      <c r="G18" s="246">
        <f>+VLOOKUP('Rate Calculator'!$C$22,Data!$Q$9:$BQ$17,Data!$BP$8,FALSE)</f>
        <v>8</v>
      </c>
      <c r="H18" s="247" t="s">
        <v>291</v>
      </c>
      <c r="I18" s="240">
        <f>IF(VLOOKUP($F$4,Data!G9:L16,Data!$L$8,FALSE)&lt;1,VLOOKUP($F$4,Data!$G$9:$L$16,Data!$L$8,FALSE),1)</f>
        <v>1</v>
      </c>
      <c r="J18" s="247" t="s">
        <v>117</v>
      </c>
      <c r="K18" s="240">
        <f>IF(VLOOKUP($F$4,Data!$G$9:$L$16,Data!$L$8,FALSE)="software",IF($C18&gt;0.75,1,$C18+0.1),1)</f>
        <v>0.65</v>
      </c>
      <c r="L18" s="247" t="s">
        <v>109</v>
      </c>
      <c r="M18" s="246">
        <f>+VLOOKUP($F$4,Data!$G$9:$L$16,Data!$I$8)</f>
        <v>1</v>
      </c>
      <c r="N18" s="247" t="s">
        <v>108</v>
      </c>
      <c r="O18" s="247">
        <f>INT($F$6/$M18)+IF(($F$6/$M18-INT($F$6/$M18))&gt;0,1,0)</f>
        <v>200</v>
      </c>
      <c r="P18" s="143" t="s">
        <v>121</v>
      </c>
      <c r="Q18" s="247">
        <f>VLOOKUP($F$5,Data!$A$9:$C$19,Data!$B$8,FALSE)</f>
        <v>80</v>
      </c>
      <c r="R18" s="253" t="s">
        <v>25</v>
      </c>
      <c r="S18" s="247">
        <f>VLOOKUP($F$3,Data!$A$33:$CN$78,Data!$CB$32,FALSE)</f>
        <v>1000</v>
      </c>
      <c r="T18" s="253" t="s">
        <v>26</v>
      </c>
      <c r="U18" s="247">
        <f>IF(VLOOKUP($F$3,Data!$A$33:$CN$78,Data!$CC$32)="N/A",10000000,VLOOKUP($F$3,Data!$A$33:$CN$78,Data!$CC$32,FALSE))</f>
        <v>10000000</v>
      </c>
      <c r="V18" s="144" t="s">
        <v>40</v>
      </c>
      <c r="W18" s="254" t="str">
        <f>VLOOKUP($F$3,Data!$A$33:$CN$78,Data!CD$32,FALSE)</f>
        <v>TOU</v>
      </c>
      <c r="X18" s="246" t="s">
        <v>144</v>
      </c>
      <c r="Y18" s="248">
        <f>VLOOKUP($F$3,Data!$A$33:$CN$78,Data!BZ32)</f>
        <v>3</v>
      </c>
      <c r="Z18" s="256"/>
      <c r="AA18" s="256"/>
      <c r="AB18" s="256"/>
      <c r="AC18" s="256"/>
      <c r="AD18" s="256"/>
      <c r="AE18" s="256"/>
      <c r="AF18" s="257"/>
      <c r="AG18" s="140"/>
      <c r="AH18" s="140"/>
      <c r="AI18" s="137"/>
      <c r="AK18" s="139"/>
      <c r="AL18" s="141"/>
      <c r="AM18" s="141"/>
    </row>
    <row r="19" spans="2:39" ht="18.75" x14ac:dyDescent="0.3">
      <c r="B19" s="131" t="str">
        <f>Y18&amp;" Summer Rate Months per Year"</f>
        <v>3 Summer Rate Months per Year</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4"/>
      <c r="AH19" s="88"/>
      <c r="AI19" s="23"/>
      <c r="AK19" s="102"/>
      <c r="AL19" s="23"/>
    </row>
    <row r="20" spans="2:39" ht="18.75" x14ac:dyDescent="0.3">
      <c r="B20" s="132"/>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9"/>
      <c r="AH20" s="88"/>
      <c r="AI20" s="23"/>
      <c r="AK20" s="102"/>
      <c r="AL20" s="23"/>
    </row>
    <row r="21" spans="2:39" ht="15" x14ac:dyDescent="0.25">
      <c r="B21" s="84"/>
      <c r="C21" s="130" t="s">
        <v>222</v>
      </c>
      <c r="D21" s="65"/>
      <c r="E21" s="65"/>
      <c r="F21" s="6"/>
      <c r="G21" s="6"/>
      <c r="H21" s="66" t="s">
        <v>235</v>
      </c>
      <c r="I21" s="66" t="s">
        <v>265</v>
      </c>
      <c r="J21" s="66" t="s">
        <v>266</v>
      </c>
      <c r="K21" s="66" t="s">
        <v>267</v>
      </c>
      <c r="L21" s="66" t="s">
        <v>268</v>
      </c>
      <c r="M21" s="66" t="s">
        <v>269</v>
      </c>
      <c r="N21" s="66" t="s">
        <v>270</v>
      </c>
      <c r="O21" s="66" t="s">
        <v>271</v>
      </c>
      <c r="P21" s="66" t="s">
        <v>272</v>
      </c>
      <c r="Q21" s="66" t="s">
        <v>273</v>
      </c>
      <c r="R21" s="66" t="s">
        <v>274</v>
      </c>
      <c r="S21" s="66" t="s">
        <v>275</v>
      </c>
      <c r="T21" s="66" t="s">
        <v>276</v>
      </c>
      <c r="U21" s="66" t="s">
        <v>277</v>
      </c>
      <c r="V21" s="66" t="s">
        <v>278</v>
      </c>
      <c r="W21" s="66" t="s">
        <v>279</v>
      </c>
      <c r="X21" s="66" t="s">
        <v>280</v>
      </c>
      <c r="Y21" s="66" t="s">
        <v>281</v>
      </c>
      <c r="Z21" s="66" t="s">
        <v>282</v>
      </c>
      <c r="AA21" s="66" t="s">
        <v>283</v>
      </c>
      <c r="AB21" s="66" t="s">
        <v>284</v>
      </c>
      <c r="AC21" s="66" t="s">
        <v>285</v>
      </c>
      <c r="AD21" s="66" t="s">
        <v>286</v>
      </c>
      <c r="AE21" s="66" t="s">
        <v>287</v>
      </c>
      <c r="AF21" s="90"/>
      <c r="AI21" s="23"/>
      <c r="AJ21" s="23"/>
      <c r="AK21" s="102"/>
    </row>
    <row r="22" spans="2:39" ht="15" x14ac:dyDescent="0.25">
      <c r="B22" s="84"/>
      <c r="C22" s="267" t="s">
        <v>367</v>
      </c>
      <c r="D22" s="267"/>
      <c r="E22" s="267"/>
      <c r="F22" s="267"/>
      <c r="G22" s="268"/>
      <c r="H22" s="75">
        <f>$I$18*$K$18*VLOOKUP($C$22,Data!$Q$9:$BO$17,Data!T$8,FALSE)</f>
        <v>0</v>
      </c>
      <c r="I22" s="75">
        <f>$I$18*$K$18*VLOOKUP($C$22,Data!$Q$9:$BO$17,Data!U$8,FALSE)</f>
        <v>0</v>
      </c>
      <c r="J22" s="75">
        <f>$I$18*$K$18*VLOOKUP($C$22,Data!$Q$9:$BO$17,Data!V$8,FALSE)</f>
        <v>0</v>
      </c>
      <c r="K22" s="75">
        <f>$I$18*$K$18*VLOOKUP($C$22,Data!$Q$9:$BO$17,Data!W$8,FALSE)</f>
        <v>0</v>
      </c>
      <c r="L22" s="75">
        <f>$I$18*$K$18*VLOOKUP($C$22,Data!$Q$9:$BO$17,Data!X$8,FALSE)</f>
        <v>0</v>
      </c>
      <c r="M22" s="75">
        <f>$I$18*$K$18*VLOOKUP($C$22,Data!$Q$9:$BO$17,Data!Y$8,FALSE)</f>
        <v>0</v>
      </c>
      <c r="N22" s="75">
        <f>$I$18*$K$18*VLOOKUP($C$22,Data!$Q$9:$BO$17,Data!Z$8,FALSE)</f>
        <v>0</v>
      </c>
      <c r="O22" s="75">
        <f>$I$18*$K$18*VLOOKUP($C$22,Data!$Q$9:$BO$17,Data!AA$8,FALSE)</f>
        <v>0</v>
      </c>
      <c r="P22" s="75">
        <f>$I$18*$K$18*VLOOKUP($C$22,Data!$Q$9:$BO$17,Data!AB$8,FALSE)</f>
        <v>0</v>
      </c>
      <c r="Q22" s="75">
        <f>$I$18*$K$18*VLOOKUP($C$22,Data!$Q$9:$BO$17,Data!AC$8,FALSE)</f>
        <v>0</v>
      </c>
      <c r="R22" s="75">
        <f>$I$18*$K$18*VLOOKUP($C$22,Data!$Q$9:$BO$17,Data!AD$8,FALSE)</f>
        <v>0.65</v>
      </c>
      <c r="S22" s="75">
        <f>$I$18*$K$18*VLOOKUP($C$22,Data!$Q$9:$BO$17,Data!AE$8,FALSE)</f>
        <v>0.65</v>
      </c>
      <c r="T22" s="75">
        <f>$I$18*$K$18*VLOOKUP($C$22,Data!$Q$9:$BO$17,Data!AF$8,FALSE)</f>
        <v>0.65</v>
      </c>
      <c r="U22" s="75">
        <f>$I$18*$K$18*VLOOKUP($C$22,Data!$Q$9:$BO$17,Data!AG$8,FALSE)</f>
        <v>0.65</v>
      </c>
      <c r="V22" s="75">
        <f>$I$18*$K$18*VLOOKUP($C$22,Data!$Q$9:$BO$17,Data!AH$8,FALSE)</f>
        <v>0.65</v>
      </c>
      <c r="W22" s="75">
        <f>$I$18*$K$18*VLOOKUP($C$22,Data!$Q$9:$BO$17,Data!AI$8,FALSE)</f>
        <v>0.65</v>
      </c>
      <c r="X22" s="75">
        <f>$I$18*$K$18*VLOOKUP($C$22,Data!$Q$9:$BO$17,Data!AJ$8,FALSE)</f>
        <v>0.65</v>
      </c>
      <c r="Y22" s="75">
        <f>$I$18*$K$18*VLOOKUP($C$22,Data!$Q$9:$BO$17,Data!AK$8,FALSE)</f>
        <v>0.65</v>
      </c>
      <c r="Z22" s="75">
        <f>$I$18*$K$18*VLOOKUP($C$22,Data!$Q$9:$BO$17,Data!AL$8,FALSE)</f>
        <v>0</v>
      </c>
      <c r="AA22" s="75">
        <f>$I$18*$K$18*VLOOKUP($C$22,Data!$Q$9:$BO$17,Data!AM$8,FALSE)</f>
        <v>0</v>
      </c>
      <c r="AB22" s="75">
        <f>$I$18*$K$18*VLOOKUP($C$22,Data!$Q$9:$BO$17,Data!AN$8,FALSE)</f>
        <v>0</v>
      </c>
      <c r="AC22" s="75">
        <f>$I$18*$K$18*VLOOKUP($C$22,Data!$Q$9:$BO$17,Data!AO$8,FALSE)</f>
        <v>0</v>
      </c>
      <c r="AD22" s="75">
        <f>$I$18*$K$18*VLOOKUP($C$22,Data!$Q$9:$BO$17,Data!AP$8,FALSE)</f>
        <v>0</v>
      </c>
      <c r="AE22" s="75">
        <f>$I$18*$K$18*VLOOKUP($C$22,Data!$Q$9:$BO$17,Data!AQ$8,FALSE)</f>
        <v>0</v>
      </c>
      <c r="AF22" s="91"/>
      <c r="AI22" s="68"/>
    </row>
    <row r="23" spans="2:39" ht="15" x14ac:dyDescent="0.25">
      <c r="B23" s="84"/>
      <c r="C23" s="126" t="s">
        <v>154</v>
      </c>
      <c r="H23" s="133" t="str">
        <f>VLOOKUP($F$3,Data!$A$33:$BM$78,Data!R$32,FALSE)</f>
        <v>m</v>
      </c>
      <c r="I23" s="133" t="str">
        <f>VLOOKUP($F$3,Data!$A$33:$BM$78,Data!S$32,FALSE)</f>
        <v>m</v>
      </c>
      <c r="J23" s="133" t="str">
        <f>VLOOKUP($F$3,Data!$A$33:$BM$78,Data!T$32,FALSE)</f>
        <v>p</v>
      </c>
      <c r="K23" s="133" t="str">
        <f>VLOOKUP($F$3,Data!$A$33:$BM$78,Data!U$32,FALSE)</f>
        <v>p</v>
      </c>
      <c r="L23" s="133" t="str">
        <f>VLOOKUP($F$3,Data!$A$33:$BM$78,Data!V$32,FALSE)</f>
        <v>p</v>
      </c>
      <c r="M23" s="133" t="str">
        <f>VLOOKUP($F$3,Data!$A$33:$BM$78,Data!W$32,FALSE)</f>
        <v>p</v>
      </c>
      <c r="N23" s="133" t="str">
        <f>VLOOKUP($F$3,Data!$A$33:$BM$78,Data!X$32,FALSE)</f>
        <v>p</v>
      </c>
      <c r="O23" s="133" t="str">
        <f>VLOOKUP($F$3,Data!$A$33:$BM$78,Data!Y$32,FALSE)</f>
        <v>p</v>
      </c>
      <c r="P23" s="133" t="str">
        <f>VLOOKUP($F$3,Data!$A$33:$BM$78,Data!Z$32,FALSE)</f>
        <v>m</v>
      </c>
      <c r="Q23" s="133" t="str">
        <f>VLOOKUP($F$3,Data!$A$33:$BM$78,Data!AA$32,FALSE)</f>
        <v>m</v>
      </c>
      <c r="R23" s="133" t="str">
        <f>VLOOKUP($F$3,Data!$A$33:$BM$78,Data!AB$32,FALSE)</f>
        <v>o</v>
      </c>
      <c r="S23" s="133" t="str">
        <f>VLOOKUP($F$3,Data!$A$33:$BM$78,Data!AC$32,FALSE)</f>
        <v>o</v>
      </c>
      <c r="T23" s="133" t="str">
        <f>VLOOKUP($F$3,Data!$A$33:$BM$78,Data!AD$32,FALSE)</f>
        <v>o</v>
      </c>
      <c r="U23" s="133" t="str">
        <f>VLOOKUP($F$3,Data!$A$33:$BM$78,Data!AE$32,FALSE)</f>
        <v>o</v>
      </c>
      <c r="V23" s="133" t="str">
        <f>VLOOKUP($F$3,Data!$A$33:$BM$78,Data!AF$32,FALSE)</f>
        <v>o</v>
      </c>
      <c r="W23" s="133" t="str">
        <f>VLOOKUP($F$3,Data!$A$33:$BM$78,Data!AG$32,FALSE)</f>
        <v>o</v>
      </c>
      <c r="X23" s="133" t="str">
        <f>VLOOKUP($F$3,Data!$A$33:$BM$78,Data!AH$32,FALSE)</f>
        <v>o</v>
      </c>
      <c r="Y23" s="133" t="str">
        <f>VLOOKUP($F$3,Data!$A$33:$BM$78,Data!AI$32,FALSE)</f>
        <v>o</v>
      </c>
      <c r="Z23" s="133" t="str">
        <f>VLOOKUP($F$3,Data!$A$33:$BM$78,Data!AJ$32,FALSE)</f>
        <v>o</v>
      </c>
      <c r="AA23" s="133" t="str">
        <f>VLOOKUP($F$3,Data!$A$33:$BM$78,Data!AK$32,FALSE)</f>
        <v>o</v>
      </c>
      <c r="AB23" s="133" t="str">
        <f>VLOOKUP($F$3,Data!$A$33:$BM$78,Data!AL$32,FALSE)</f>
        <v>o</v>
      </c>
      <c r="AC23" s="133" t="str">
        <f>VLOOKUP($F$3,Data!$A$33:$BM$78,Data!AM$32,FALSE)</f>
        <v>o</v>
      </c>
      <c r="AD23" s="133" t="str">
        <f>VLOOKUP($F$3,Data!$A$33:$BM$78,Data!AN$32,FALSE)</f>
        <v>o</v>
      </c>
      <c r="AE23" s="133" t="str">
        <f>VLOOKUP($F$3,Data!$A$33:$BM$78,Data!AO$32,FALSE)</f>
        <v>o</v>
      </c>
      <c r="AF23" s="91"/>
      <c r="AI23" s="23"/>
      <c r="AJ23" s="23"/>
      <c r="AK23" s="102"/>
    </row>
    <row r="24" spans="2:39" ht="15" x14ac:dyDescent="0.25">
      <c r="B24" s="84"/>
      <c r="C24" s="72"/>
      <c r="D24" s="65"/>
      <c r="E24" s="65"/>
      <c r="F24" s="6"/>
      <c r="G24" s="6"/>
      <c r="H24" s="67"/>
      <c r="I24" s="67"/>
      <c r="J24" s="67"/>
      <c r="K24" s="67"/>
      <c r="L24" s="67"/>
      <c r="M24" s="67"/>
      <c r="N24" s="67"/>
      <c r="O24" s="67"/>
      <c r="P24" s="67"/>
      <c r="Q24" s="67"/>
      <c r="R24" s="67"/>
      <c r="S24" s="67"/>
      <c r="T24" s="67"/>
      <c r="U24" s="67"/>
      <c r="V24" s="67"/>
      <c r="W24" s="67"/>
      <c r="X24" s="67"/>
      <c r="Y24" s="67"/>
      <c r="Z24" s="67"/>
      <c r="AA24" s="67"/>
      <c r="AB24" s="67"/>
      <c r="AC24" s="67"/>
      <c r="AD24" s="67"/>
      <c r="AE24" s="67"/>
      <c r="AF24" s="91"/>
      <c r="AI24" s="40"/>
    </row>
    <row r="25" spans="2:39" ht="15.75" customHeight="1" thickBot="1" x14ac:dyDescent="0.25">
      <c r="B25" s="84"/>
      <c r="C25" s="73" t="s">
        <v>161</v>
      </c>
      <c r="D25" s="73"/>
      <c r="E25" s="73"/>
      <c r="F25" s="73"/>
      <c r="G25" s="259" t="str">
        <f>IF($W$18="Tier","Tier 1","On-Peak")</f>
        <v>On-Peak</v>
      </c>
      <c r="H25" s="259"/>
      <c r="I25" s="259" t="str">
        <f>IF($W$18="Tier","Tier 2","Mid-Peak")</f>
        <v>Mid-Peak</v>
      </c>
      <c r="J25" s="259"/>
      <c r="K25" s="259" t="str">
        <f>IF($W$18="Tier","Tier 3","Off-Peak")</f>
        <v>Off-Peak</v>
      </c>
      <c r="L25" s="259"/>
      <c r="M25" s="259" t="s">
        <v>12</v>
      </c>
      <c r="N25" s="259"/>
      <c r="O25" s="6"/>
      <c r="P25" s="6"/>
      <c r="Q25" s="73" t="str">
        <f>IF($W$18="Subscription","Summer Subscription","Summer Demand")</f>
        <v>Summer Demand</v>
      </c>
      <c r="R25" s="73"/>
      <c r="S25" s="73"/>
      <c r="T25" s="259" t="str">
        <f>IF(ISNUMBER(FIND("SDG&amp;E AL-TOU2",$F$3)),"TOU Demand","")</f>
        <v/>
      </c>
      <c r="U25" s="259"/>
      <c r="V25" s="259" t="str">
        <f>IF($W$18="Subscription","Subscription","Maximum")</f>
        <v>Maximum</v>
      </c>
      <c r="W25" s="259"/>
      <c r="X25" s="259" t="s">
        <v>60</v>
      </c>
      <c r="Y25" s="259"/>
      <c r="Z25" s="259" t="s">
        <v>61</v>
      </c>
      <c r="AA25" s="259"/>
      <c r="AB25" s="259" t="s">
        <v>55</v>
      </c>
      <c r="AC25" s="259"/>
      <c r="AD25" s="259" t="s">
        <v>12</v>
      </c>
      <c r="AE25" s="259"/>
      <c r="AF25" s="91"/>
    </row>
    <row r="26" spans="2:39" ht="15" customHeight="1" x14ac:dyDescent="0.2">
      <c r="B26" s="84"/>
      <c r="C26" s="6" t="s">
        <v>103</v>
      </c>
      <c r="D26" s="6"/>
      <c r="E26" s="6"/>
      <c r="F26" s="6"/>
      <c r="G26" s="260">
        <f>SUMIF($H$23:$AE$23,"p",$H22:$AE22)/SUM($H22:$AE22)</f>
        <v>0</v>
      </c>
      <c r="H26" s="260"/>
      <c r="I26" s="260">
        <f>SUMIF($H$23:$AE$23,"m",$H22:$AE22)/SUM($H22:$AE22)</f>
        <v>0</v>
      </c>
      <c r="J26" s="260"/>
      <c r="K26" s="284">
        <f>SUMIF($H$23:$AE$23,"o",$H22:$AE22)/SUM($H22:$AE22)</f>
        <v>1</v>
      </c>
      <c r="L26" s="284"/>
      <c r="M26" s="6"/>
      <c r="N26" s="6"/>
      <c r="O26" s="6"/>
      <c r="P26" s="6"/>
      <c r="Q26" s="6" t="s">
        <v>104</v>
      </c>
      <c r="R26" s="6"/>
      <c r="S26" s="6"/>
      <c r="T26" s="260" t="str">
        <f>IF(ISNUMBER(FIND("SDG&amp;E AL-TOU2",$F$3)),MAX(X26:AA26),"")</f>
        <v/>
      </c>
      <c r="U26" s="260"/>
      <c r="V26" s="260">
        <f>IF($W$18="Subscription","",MAX(X26:AC26))</f>
        <v>0.65</v>
      </c>
      <c r="W26" s="260"/>
      <c r="X26" s="260">
        <f t="array" ref="X26">MAX(IF($H$23:$AE$23="p",$H$22:$AE$22))</f>
        <v>0</v>
      </c>
      <c r="Y26" s="260"/>
      <c r="Z26" s="260">
        <f t="array" ref="Z26">MAX(IF($H$23:$AE$23="m",$H$22:$AE$22))</f>
        <v>0</v>
      </c>
      <c r="AA26" s="260"/>
      <c r="AB26" s="260">
        <f t="array" ref="AB26">MAX(IF($H$23:$AE$23="o",$H$22:$AE$22))</f>
        <v>0.65</v>
      </c>
      <c r="AC26" s="260"/>
      <c r="AD26" s="6"/>
      <c r="AE26" s="6"/>
      <c r="AF26" s="91"/>
    </row>
    <row r="27" spans="2:39" ht="15" customHeight="1" x14ac:dyDescent="0.2">
      <c r="B27" s="84"/>
      <c r="C27" s="6" t="s">
        <v>101</v>
      </c>
      <c r="D27" s="6"/>
      <c r="E27" s="6"/>
      <c r="F27" s="6"/>
      <c r="G27" s="265">
        <f>IF( $W$18="Tier",IF(OR(VLOOKUP($F$3,Data!$A$33:$CN$78,Data!CM$32,FALSE)&gt;$M27,VLOOKUP($F$3,Data!$A$33:$CN$78,Data!CM$32,FALSE)=0),$M27,VLOOKUP($F$3,Data!$A$33:$CN$78,Data!CM$32,FALSE)),$M27*$G26)</f>
        <v>0</v>
      </c>
      <c r="H27" s="265"/>
      <c r="I27" s="265">
        <f>IF(
 $W$18="Tier",
 IF(
  OR($M27&lt;VLOOKUP($F$3,Data!$A$33:$CN$78,Data!CM$32,FALSE),VLOOKUP($F$3,Data!$A$33:$CN$78,Data!CM$32,FALSE)=0),
  0,
   IF(
    OR($M27&gt;VLOOKUP($F$3,Data!$A$33:$CN$78,Data!CM$32,FALSE),VLOOKUP($F$3,Data!$A$33:$CN$78,Data!CN$32,FALSE)=0),
    $M27-VLOOKUP($F$3,Data!$A$33:$CN$78,Data!CM$32,FALSE),
    VLOOKUP($F$3,Data!$A$33:$CN$78,Data!CN$32,FALSE)-VLOOKUP($F$3,Data!$A$33:$CN$78,Data!CM$32,FALSE)
   )
 ),
 $M27*$I26)</f>
        <v>0</v>
      </c>
      <c r="J27" s="265"/>
      <c r="K27" s="265">
        <f>IF($W$18="Tier",$M27-SUM($G27:$J27),$M27*$K26)</f>
        <v>2135000</v>
      </c>
      <c r="L27" s="265"/>
      <c r="M27" s="261">
        <f>+$F$8*$F$7*$F$6*30.5/$F$9</f>
        <v>2135000</v>
      </c>
      <c r="N27" s="261"/>
      <c r="O27" s="6"/>
      <c r="P27" s="6"/>
      <c r="Q27" s="6" t="s">
        <v>107</v>
      </c>
      <c r="R27" s="6"/>
      <c r="S27" s="6"/>
      <c r="T27" s="261" t="str">
        <f>IF(ISNUMBER(FIND("SDG&amp;E AL-TOU2",$F$3)),ROUND(MAX(X27:AA27),0),"")</f>
        <v/>
      </c>
      <c r="U27" s="262"/>
      <c r="V27" s="261">
        <f>IF($W$18="Subscription",$F$11,ROUND(MAX(X27:AC27),0))</f>
        <v>10400</v>
      </c>
      <c r="W27" s="262"/>
      <c r="X27" s="265">
        <f>VLOOKUP($F$5,Data!$A$9:$C$19,Data!$B$8,FALSE)*$O$18*$X$26</f>
        <v>0</v>
      </c>
      <c r="Y27" s="265"/>
      <c r="Z27" s="265">
        <f>VLOOKUP($F$5,Data!$A$9:$C$19,Data!$B$8,FALSE)*$O$18*$Z$26</f>
        <v>0</v>
      </c>
      <c r="AA27" s="265"/>
      <c r="AB27" s="265">
        <f>VLOOKUP($F$5,Data!$A$9:$C$19,Data!$B$8,FALSE)*$O$18*$AB$26</f>
        <v>10400</v>
      </c>
      <c r="AC27" s="265"/>
      <c r="AD27" s="261"/>
      <c r="AE27" s="261"/>
      <c r="AF27" s="91"/>
    </row>
    <row r="28" spans="2:39" ht="15.75" customHeight="1" thickBot="1" x14ac:dyDescent="0.25">
      <c r="B28" s="84"/>
      <c r="C28" s="56" t="s">
        <v>100</v>
      </c>
      <c r="D28" s="56"/>
      <c r="E28" s="56"/>
      <c r="F28" s="56"/>
      <c r="G28" s="263">
        <f>IF($W$18="Tier",VLOOKUP($F$3,Data!$A$33:$CN$78,Data!CE$32,FALSE),VLOOKUP($F$3,Data!$A$33:$CN$78,Data!$K$32,FALSE))</f>
        <v>0.1696</v>
      </c>
      <c r="H28" s="263"/>
      <c r="I28" s="263">
        <f>IF($W$18="Tier",VLOOKUP($F$3,Data!$A$33:$CN$78,Data!CF$32,FALSE),VLOOKUP($F$3,Data!$A$33:$CN$78,Data!$L$32,FALSE))</f>
        <v>0.13569999999999999</v>
      </c>
      <c r="J28" s="263"/>
      <c r="K28" s="263">
        <f>IF($W$18="Tier",VLOOKUP($F$3,Data!$A$33:$CN$78,Data!CG$32,FALSE),VLOOKUP($F$3,Data!$A$33:$CN$78,Data!$M$32,FALSE))</f>
        <v>0.10890000000000001</v>
      </c>
      <c r="L28" s="263"/>
      <c r="M28" s="266"/>
      <c r="N28" s="266"/>
      <c r="O28" s="6"/>
      <c r="P28" s="6"/>
      <c r="Q28" s="56" t="str">
        <f>IF($W$18="Subscription","Subscription Rate ($/kW)","Demand Rate ($/kW)")</f>
        <v>Demand Rate ($/kW)</v>
      </c>
      <c r="R28" s="56"/>
      <c r="S28" s="56"/>
      <c r="T28" s="263" t="str">
        <f>IF(ISNUMBER(FIND("SDG&amp;E AL-TOU2",$F$3)),19.7,"")</f>
        <v/>
      </c>
      <c r="U28" s="263"/>
      <c r="V28" s="263">
        <f>+VLOOKUP($F$3,Data!$A$33:$CN$78,Data!$C$32,FALSE)</f>
        <v>4.0199999999999996</v>
      </c>
      <c r="W28" s="263"/>
      <c r="X28" s="263">
        <f>+VLOOKUP($F$3,Data!$A$33:$CN$78,Data!$D$32,FALSE)</f>
        <v>0</v>
      </c>
      <c r="Y28" s="263"/>
      <c r="Z28" s="263">
        <f>+VLOOKUP($F$3,Data!$A$33:$CN$78,Data!$E$32,FALSE)</f>
        <v>0</v>
      </c>
      <c r="AA28" s="263"/>
      <c r="AB28" s="263">
        <f>+VLOOKUP($F$3,Data!$A$33:$CN$78,Data!$F$32,FALSE)</f>
        <v>0</v>
      </c>
      <c r="AC28" s="263"/>
      <c r="AD28" s="56"/>
      <c r="AE28" s="56"/>
      <c r="AF28" s="91"/>
    </row>
    <row r="29" spans="2:39" x14ac:dyDescent="0.2">
      <c r="B29" s="84"/>
      <c r="C29" s="92" t="s">
        <v>102</v>
      </c>
      <c r="D29" s="76"/>
      <c r="E29" s="76"/>
      <c r="F29" s="76"/>
      <c r="G29" s="269">
        <f>+G27*G28</f>
        <v>0</v>
      </c>
      <c r="H29" s="269"/>
      <c r="I29" s="269">
        <f>+I27*I28</f>
        <v>0</v>
      </c>
      <c r="J29" s="269"/>
      <c r="K29" s="270">
        <f>+K27*K28</f>
        <v>232501.50000000003</v>
      </c>
      <c r="L29" s="270"/>
      <c r="M29" s="269">
        <f>SUM(G29:L29)</f>
        <v>232501.50000000003</v>
      </c>
      <c r="N29" s="269"/>
      <c r="O29" s="6"/>
      <c r="P29" s="6"/>
      <c r="Q29" s="6" t="str">
        <f>IF($W$18="Subscription","Subscription Fee","Demand Charge")</f>
        <v>Demand Charge</v>
      </c>
      <c r="R29" s="6"/>
      <c r="S29" s="6"/>
      <c r="T29" s="264" t="str">
        <f>IF(ISNUMBER(FIND("SDG&amp;E AL-TOU2",$F$3)),T27*T28,"")</f>
        <v/>
      </c>
      <c r="U29" s="264"/>
      <c r="V29" s="283">
        <f>+V27*V28</f>
        <v>41807.999999999993</v>
      </c>
      <c r="W29" s="283"/>
      <c r="X29" s="283">
        <f>+X27*X28</f>
        <v>0</v>
      </c>
      <c r="Y29" s="283"/>
      <c r="Z29" s="283">
        <f>+Z27*Z28</f>
        <v>0</v>
      </c>
      <c r="AA29" s="283"/>
      <c r="AB29" s="283">
        <f>+AB27*AB28</f>
        <v>0</v>
      </c>
      <c r="AC29" s="283"/>
      <c r="AD29" s="283">
        <f>SUM(T29:AC29)</f>
        <v>41807.999999999993</v>
      </c>
      <c r="AE29" s="283"/>
      <c r="AF29" s="91"/>
    </row>
    <row r="30" spans="2:39" x14ac:dyDescent="0.2">
      <c r="B30" s="84"/>
      <c r="C30" s="6"/>
      <c r="D30" s="6"/>
      <c r="E30" s="6"/>
      <c r="F30" s="6"/>
      <c r="G30" s="261"/>
      <c r="H30" s="261"/>
      <c r="I30" s="261"/>
      <c r="J30" s="261"/>
      <c r="K30" s="261"/>
      <c r="L30" s="261"/>
      <c r="M30" s="6"/>
      <c r="N30" s="6"/>
      <c r="O30" s="6"/>
      <c r="P30" s="6"/>
      <c r="Q30" s="6"/>
      <c r="R30" s="6"/>
      <c r="S30" s="6"/>
      <c r="T30" s="6"/>
      <c r="U30" s="6"/>
      <c r="V30" s="6"/>
      <c r="W30" s="6"/>
      <c r="X30" s="6"/>
      <c r="Y30" s="6"/>
      <c r="Z30" s="6"/>
      <c r="AA30" s="6"/>
      <c r="AB30" s="6"/>
      <c r="AC30" s="6"/>
      <c r="AD30" s="6"/>
      <c r="AE30" s="6"/>
      <c r="AF30" s="91"/>
    </row>
    <row r="31" spans="2:39" x14ac:dyDescent="0.2">
      <c r="B31" s="84"/>
      <c r="C31" s="6"/>
      <c r="D31" s="6"/>
      <c r="E31" s="6"/>
      <c r="F31" s="6"/>
      <c r="G31" s="6"/>
      <c r="H31" s="6"/>
      <c r="I31" s="6"/>
      <c r="J31" s="6"/>
      <c r="K31" s="6"/>
      <c r="L31" s="6"/>
      <c r="M31" s="6"/>
      <c r="N31" s="6"/>
      <c r="O31" s="6"/>
      <c r="P31" s="6"/>
      <c r="Q31" s="76" t="str">
        <f>+"Summer Monthly Bill (with tax/fees &amp; $"&amp;FIXED(VLOOKUP($F$3,Data!$A$33:$CA$78,2),2)&amp;" meter fee)"</f>
        <v>Summer Monthly Bill (with tax/fees &amp; $107.95 meter fee)</v>
      </c>
      <c r="S31" s="72"/>
      <c r="T31" s="72"/>
      <c r="U31" s="72"/>
      <c r="V31" s="72"/>
      <c r="W31" s="72"/>
      <c r="X31" s="72"/>
      <c r="Y31" s="72"/>
      <c r="Z31" s="286">
        <f>(AD29+M29+VLOOKUP($F$3,Data!$A$33:$CA$78,2))*(1+$F$10)</f>
        <v>282649.97350000002</v>
      </c>
      <c r="AA31" s="286"/>
      <c r="AB31" s="72" t="s">
        <v>105</v>
      </c>
      <c r="AC31" s="72"/>
      <c r="AD31" s="93">
        <f>+Z31/M27</f>
        <v>0.13238874637002343</v>
      </c>
      <c r="AE31" s="94" t="s">
        <v>35</v>
      </c>
      <c r="AF31" s="91"/>
    </row>
    <row r="32" spans="2:39" ht="13.5" thickBot="1" x14ac:dyDescent="0.25">
      <c r="B32" s="86"/>
      <c r="C32" s="56"/>
      <c r="D32" s="56"/>
      <c r="E32" s="56"/>
      <c r="F32" s="56"/>
      <c r="G32" s="56"/>
      <c r="H32" s="56"/>
      <c r="I32" s="56"/>
      <c r="J32" s="56"/>
      <c r="K32" s="56"/>
      <c r="L32" s="56"/>
      <c r="M32" s="56"/>
      <c r="N32" s="56"/>
      <c r="O32" s="56"/>
      <c r="P32" s="56"/>
      <c r="Q32" s="56"/>
      <c r="R32" s="95"/>
      <c r="S32" s="96"/>
      <c r="T32" s="96"/>
      <c r="U32" s="96"/>
      <c r="V32" s="96"/>
      <c r="W32" s="96"/>
      <c r="X32" s="96"/>
      <c r="Y32" s="96"/>
      <c r="Z32" s="97"/>
      <c r="AA32" s="97"/>
      <c r="AB32" s="96"/>
      <c r="AC32" s="96"/>
      <c r="AD32" s="96"/>
      <c r="AE32" s="98"/>
      <c r="AF32" s="99"/>
    </row>
    <row r="33" spans="2:37" ht="13.5" thickBot="1" x14ac:dyDescent="0.25">
      <c r="B33" s="6"/>
      <c r="C33" s="6"/>
      <c r="D33" s="6"/>
      <c r="E33" s="6"/>
      <c r="F33" s="6"/>
      <c r="G33" s="6"/>
      <c r="H33" s="6"/>
      <c r="I33" s="6"/>
      <c r="J33" s="6"/>
      <c r="K33" s="6"/>
      <c r="L33" s="6"/>
      <c r="M33" s="6"/>
      <c r="N33" s="6"/>
      <c r="O33" s="6"/>
      <c r="P33" s="6"/>
      <c r="Q33" s="6"/>
      <c r="R33" s="76"/>
      <c r="S33" s="72"/>
      <c r="T33" s="72"/>
      <c r="U33" s="72"/>
      <c r="V33" s="72"/>
      <c r="W33" s="72"/>
      <c r="X33" s="72"/>
      <c r="Y33" s="72"/>
      <c r="Z33" s="122"/>
      <c r="AA33" s="122"/>
      <c r="AB33" s="72"/>
      <c r="AC33" s="72"/>
      <c r="AD33" s="72"/>
      <c r="AE33" s="94"/>
      <c r="AF33" s="70"/>
    </row>
    <row r="34" spans="2:37" ht="18.75" x14ac:dyDescent="0.3">
      <c r="B34" s="131" t="str">
        <f>12-Y18 &amp; " Winter Rate Months per Year"</f>
        <v>9 Winter Rate Months per Year</v>
      </c>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4"/>
    </row>
    <row r="35" spans="2:37" ht="15.75" x14ac:dyDescent="0.25">
      <c r="B35" s="127"/>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9"/>
    </row>
    <row r="36" spans="2:37" ht="15" x14ac:dyDescent="0.25">
      <c r="B36" s="84"/>
      <c r="C36" s="130" t="s">
        <v>222</v>
      </c>
      <c r="D36" s="65"/>
      <c r="E36" s="65"/>
      <c r="F36" s="6"/>
      <c r="G36" s="6"/>
      <c r="H36" s="66" t="s">
        <v>235</v>
      </c>
      <c r="I36" s="66" t="s">
        <v>265</v>
      </c>
      <c r="J36" s="66" t="s">
        <v>266</v>
      </c>
      <c r="K36" s="66" t="s">
        <v>267</v>
      </c>
      <c r="L36" s="66" t="s">
        <v>268</v>
      </c>
      <c r="M36" s="66" t="s">
        <v>269</v>
      </c>
      <c r="N36" s="66" t="s">
        <v>270</v>
      </c>
      <c r="O36" s="66" t="s">
        <v>271</v>
      </c>
      <c r="P36" s="66" t="s">
        <v>272</v>
      </c>
      <c r="Q36" s="66" t="s">
        <v>273</v>
      </c>
      <c r="R36" s="66" t="s">
        <v>274</v>
      </c>
      <c r="S36" s="66" t="s">
        <v>275</v>
      </c>
      <c r="T36" s="66" t="s">
        <v>276</v>
      </c>
      <c r="U36" s="66" t="s">
        <v>277</v>
      </c>
      <c r="V36" s="66" t="s">
        <v>278</v>
      </c>
      <c r="W36" s="66" t="s">
        <v>279</v>
      </c>
      <c r="X36" s="66" t="s">
        <v>280</v>
      </c>
      <c r="Y36" s="66" t="s">
        <v>281</v>
      </c>
      <c r="Z36" s="66" t="s">
        <v>282</v>
      </c>
      <c r="AA36" s="66" t="s">
        <v>283</v>
      </c>
      <c r="AB36" s="66" t="s">
        <v>284</v>
      </c>
      <c r="AC36" s="66" t="s">
        <v>285</v>
      </c>
      <c r="AD36" s="66" t="s">
        <v>286</v>
      </c>
      <c r="AE36" s="66" t="s">
        <v>287</v>
      </c>
      <c r="AF36" s="90"/>
      <c r="AH36" s="70"/>
    </row>
    <row r="37" spans="2:37" ht="15" x14ac:dyDescent="0.25">
      <c r="B37" s="84"/>
      <c r="C37" s="83" t="str">
        <f>+C22</f>
        <v>Late Evening (10p-6a)</v>
      </c>
      <c r="D37" s="74"/>
      <c r="E37" s="74"/>
      <c r="F37" s="6"/>
      <c r="G37" s="6"/>
      <c r="H37" s="75">
        <f>$I$18*$K$18*VLOOKUP($C$37,Data!$Q$9:$BQ$17,Data!AR$8,FALSE)</f>
        <v>0</v>
      </c>
      <c r="I37" s="75">
        <f>$I$18*$K$18*VLOOKUP($C$37,Data!$Q$9:$BQ$17,Data!AS$8,FALSE)</f>
        <v>0</v>
      </c>
      <c r="J37" s="75">
        <f>$I$18*$K$18*VLOOKUP($C$37,Data!$Q$9:$BQ$17,Data!AT$8,FALSE)</f>
        <v>0</v>
      </c>
      <c r="K37" s="75">
        <f>$I$18*$K$18*VLOOKUP($C$37,Data!$Q$9:$BQ$17,Data!AU$8,FALSE)</f>
        <v>0</v>
      </c>
      <c r="L37" s="75">
        <f>$I$18*$K$18*VLOOKUP($C$37,Data!$Q$9:$BQ$17,Data!AV$8,FALSE)</f>
        <v>0</v>
      </c>
      <c r="M37" s="75">
        <f>$I$18*$K$18*VLOOKUP($C$37,Data!$Q$9:$BQ$17,Data!AW$8,FALSE)</f>
        <v>0</v>
      </c>
      <c r="N37" s="75">
        <f>$I$18*$K$18*VLOOKUP($C$37,Data!$Q$9:$BQ$17,Data!AX$8,FALSE)</f>
        <v>0</v>
      </c>
      <c r="O37" s="75">
        <f>$I$18*$K$18*VLOOKUP($C$37,Data!$Q$9:$BQ$17,Data!AY$8,FALSE)</f>
        <v>0</v>
      </c>
      <c r="P37" s="75">
        <f>$I$18*$K$18*VLOOKUP($C$37,Data!$Q$9:$BQ$17,Data!AZ$8,FALSE)</f>
        <v>0</v>
      </c>
      <c r="Q37" s="75">
        <f>$I$18*$K$18*VLOOKUP($C$37,Data!$Q$9:$BQ$17,Data!BA$8,FALSE)</f>
        <v>0</v>
      </c>
      <c r="R37" s="75">
        <f>$I$18*$K$18*VLOOKUP($C$37,Data!$Q$9:$BQ$17,Data!BB$8,FALSE)</f>
        <v>0.65</v>
      </c>
      <c r="S37" s="75">
        <f>$I$18*$K$18*VLOOKUP($C$37,Data!$Q$9:$BQ$17,Data!BC$8,FALSE)</f>
        <v>0.65</v>
      </c>
      <c r="T37" s="75">
        <f>$I$18*$K$18*VLOOKUP($C$37,Data!$Q$9:$BQ$17,Data!BD$8,FALSE)</f>
        <v>0.65</v>
      </c>
      <c r="U37" s="75">
        <f>$I$18*$K$18*VLOOKUP($C$37,Data!$Q$9:$BQ$17,Data!BE$8,FALSE)</f>
        <v>0.65</v>
      </c>
      <c r="V37" s="75">
        <f>$I$18*$K$18*VLOOKUP($C$37,Data!$Q$9:$BQ$17,Data!BF$8,FALSE)</f>
        <v>0.65</v>
      </c>
      <c r="W37" s="75">
        <f>$I$18*$K$18*VLOOKUP($C$37,Data!$Q$9:$BQ$17,Data!BG$8,FALSE)</f>
        <v>0.65</v>
      </c>
      <c r="X37" s="75">
        <f>$I$18*$K$18*VLOOKUP($C$37,Data!$Q$9:$BQ$17,Data!BH$8,FALSE)</f>
        <v>0.65</v>
      </c>
      <c r="Y37" s="75">
        <f>$I$18*$K$18*VLOOKUP($C$37,Data!$Q$9:$BQ$17,Data!BI$8,FALSE)</f>
        <v>0.65</v>
      </c>
      <c r="Z37" s="75">
        <f>$I$18*$K$18*VLOOKUP($C$37,Data!$Q$9:$BQ$17,Data!BJ$8,FALSE)</f>
        <v>0</v>
      </c>
      <c r="AA37" s="75">
        <f>$I$18*$K$18*VLOOKUP($C$37,Data!$Q$9:$BQ$17,Data!BK$8,FALSE)</f>
        <v>0</v>
      </c>
      <c r="AB37" s="75">
        <f>$I$18*$K$18*VLOOKUP($C$37,Data!$Q$9:$BQ$17,Data!BL$8,FALSE)</f>
        <v>0</v>
      </c>
      <c r="AC37" s="75">
        <f>$I$18*$K$18*VLOOKUP($C$37,Data!$Q$9:$BQ$17,Data!BM$8,FALSE)</f>
        <v>0</v>
      </c>
      <c r="AD37" s="75">
        <f>$I$18*$K$18*VLOOKUP($C$37,Data!$Q$9:$BQ$17,Data!BN$8,FALSE)</f>
        <v>0</v>
      </c>
      <c r="AE37" s="75">
        <f>$I$18*$K$18*VLOOKUP($C$37,Data!$Q$9:$BQ$17,Data!BO$8,FALSE)</f>
        <v>0</v>
      </c>
      <c r="AF37" s="100"/>
      <c r="AI37" s="68"/>
      <c r="AK37" s="103"/>
    </row>
    <row r="38" spans="2:37" x14ac:dyDescent="0.2">
      <c r="B38" s="84"/>
      <c r="C38" s="126" t="s">
        <v>155</v>
      </c>
      <c r="D38" s="6"/>
      <c r="E38" s="6"/>
      <c r="F38" s="6"/>
      <c r="G38" s="6"/>
      <c r="H38" s="133" t="str">
        <f>VLOOKUP($F$3,Data!$A$33:$CN$78,Data!AP$32,FALSE)</f>
        <v>m</v>
      </c>
      <c r="I38" s="133" t="str">
        <f>VLOOKUP($F$3,Data!$A$33:$CN$78,Data!AQ$32,FALSE)</f>
        <v>m</v>
      </c>
      <c r="J38" s="133" t="str">
        <f>VLOOKUP($F$3,Data!$A$33:$CN$78,Data!AR$32,FALSE)</f>
        <v>m</v>
      </c>
      <c r="K38" s="133" t="str">
        <f>VLOOKUP($F$3,Data!$A$33:$CN$78,Data!AS$32,FALSE)</f>
        <v>m</v>
      </c>
      <c r="L38" s="133" t="str">
        <f>VLOOKUP($F$3,Data!$A$33:$CN$78,Data!AT$32,FALSE)</f>
        <v>m</v>
      </c>
      <c r="M38" s="133" t="str">
        <f>VLOOKUP($F$3,Data!$A$33:$CN$78,Data!AU$32,FALSE)</f>
        <v>m</v>
      </c>
      <c r="N38" s="133" t="str">
        <f>VLOOKUP($F$3,Data!$A$33:$CN$78,Data!AV$32,FALSE)</f>
        <v>m</v>
      </c>
      <c r="O38" s="133" t="str">
        <f>VLOOKUP($F$3,Data!$A$33:$CN$78,Data!AW$32,FALSE)</f>
        <v>m</v>
      </c>
      <c r="P38" s="133" t="str">
        <f>VLOOKUP($F$3,Data!$A$33:$CN$78,Data!AX$32,FALSE)</f>
        <v>m</v>
      </c>
      <c r="Q38" s="133" t="str">
        <f>VLOOKUP($F$3,Data!$A$33:$CN$78,Data!AY$32,FALSE)</f>
        <v>m</v>
      </c>
      <c r="R38" s="133" t="str">
        <f>VLOOKUP($F$3,Data!$A$33:$CN$78,Data!AZ$32,FALSE)</f>
        <v>o</v>
      </c>
      <c r="S38" s="133" t="str">
        <f>VLOOKUP($F$3,Data!$A$33:$CN$78,Data!BA$32,FALSE)</f>
        <v>o</v>
      </c>
      <c r="T38" s="133" t="str">
        <f>VLOOKUP($F$3,Data!$A$33:$CN$78,Data!BB$32,FALSE)</f>
        <v>o</v>
      </c>
      <c r="U38" s="133" t="str">
        <f>VLOOKUP($F$3,Data!$A$33:$CN$78,Data!BC$32,FALSE)</f>
        <v>o</v>
      </c>
      <c r="V38" s="133" t="str">
        <f>VLOOKUP($F$3,Data!$A$33:$CN$78,Data!BD$32,FALSE)</f>
        <v>o</v>
      </c>
      <c r="W38" s="133" t="str">
        <f>VLOOKUP($F$3,Data!$A$33:$CN$78,Data!BE$32,FALSE)</f>
        <v>o</v>
      </c>
      <c r="X38" s="133" t="str">
        <f>VLOOKUP($F$3,Data!$A$33:$CN$78,Data!BF$32,FALSE)</f>
        <v>o</v>
      </c>
      <c r="Y38" s="133" t="str">
        <f>VLOOKUP($F$3,Data!$A$33:$CN$78,Data!BG$32,FALSE)</f>
        <v>o</v>
      </c>
      <c r="Z38" s="133" t="str">
        <f>VLOOKUP($F$3,Data!$A$33:$CN$78,Data!BH$32,FALSE)</f>
        <v>o</v>
      </c>
      <c r="AA38" s="133" t="str">
        <f>VLOOKUP($F$3,Data!$A$33:$CN$78,Data!BI$32,FALSE)</f>
        <v>o</v>
      </c>
      <c r="AB38" s="133" t="str">
        <f>VLOOKUP($F$3,Data!$A$33:$CN$78,Data!BJ$32,FALSE)</f>
        <v>o</v>
      </c>
      <c r="AC38" s="133" t="str">
        <f>VLOOKUP($F$3,Data!$A$33:$CN$78,Data!BK$32,FALSE)</f>
        <v>o</v>
      </c>
      <c r="AD38" s="133" t="str">
        <f>VLOOKUP($F$3,Data!$A$33:$CN$78,Data!BL$32,FALSE)</f>
        <v>o</v>
      </c>
      <c r="AE38" s="133" t="str">
        <f>VLOOKUP($F$3,Data!$A$33:$CN$78,Data!BM$32,FALSE)</f>
        <v>o</v>
      </c>
      <c r="AF38" s="91"/>
      <c r="AI38" s="40"/>
    </row>
    <row r="39" spans="2:37" ht="15" x14ac:dyDescent="0.25">
      <c r="B39" s="84"/>
      <c r="C39" s="6"/>
      <c r="D39" s="6"/>
      <c r="E39" s="6"/>
      <c r="F39" s="6"/>
      <c r="G39" s="6"/>
      <c r="H39" s="6"/>
      <c r="I39" s="6"/>
      <c r="J39" s="6"/>
      <c r="K39" s="6"/>
      <c r="L39" s="6"/>
      <c r="M39" s="71"/>
      <c r="N39" s="71"/>
      <c r="O39" s="6"/>
      <c r="P39" s="6"/>
      <c r="Q39" s="6"/>
      <c r="R39" s="6"/>
      <c r="S39" s="6"/>
      <c r="T39" s="6"/>
      <c r="U39" s="6"/>
      <c r="V39" s="6"/>
      <c r="W39" s="6"/>
      <c r="X39" s="6"/>
      <c r="Y39" s="6"/>
      <c r="Z39" s="6"/>
      <c r="AA39" s="6"/>
      <c r="AB39" s="6"/>
      <c r="AC39" s="6"/>
      <c r="AD39" s="6"/>
      <c r="AE39" s="6"/>
      <c r="AF39" s="91"/>
    </row>
    <row r="40" spans="2:37" ht="13.5" thickBot="1" x14ac:dyDescent="0.25">
      <c r="B40" s="84"/>
      <c r="C40" s="73" t="s">
        <v>162</v>
      </c>
      <c r="D40" s="73"/>
      <c r="E40" s="73"/>
      <c r="F40" s="73"/>
      <c r="G40" s="259" t="str">
        <f>IF($W$18="Tier","Tier 1","On-Peak")</f>
        <v>On-Peak</v>
      </c>
      <c r="H40" s="259"/>
      <c r="I40" s="259" t="str">
        <f>IF($W$18="Tier","Tier 2","Mid-Peak")</f>
        <v>Mid-Peak</v>
      </c>
      <c r="J40" s="259"/>
      <c r="K40" s="259" t="str">
        <f>IF($W$18="Tier","Tier 3","Off-Peak")</f>
        <v>Off-Peak</v>
      </c>
      <c r="L40" s="259"/>
      <c r="M40" s="259" t="s">
        <v>12</v>
      </c>
      <c r="N40" s="259"/>
      <c r="O40" s="6"/>
      <c r="P40" s="6"/>
      <c r="Q40" s="73" t="str">
        <f>IF($W$18="Subscription","Winter Subscription","Winter Demand")</f>
        <v>Winter Demand</v>
      </c>
      <c r="R40" s="73"/>
      <c r="S40" s="73"/>
      <c r="T40" s="259" t="str">
        <f>IF(ISNUMBER(FIND("SDG&amp;E AL-TOU2",$F$3)),"TOU Demand","")</f>
        <v/>
      </c>
      <c r="U40" s="259"/>
      <c r="V40" s="259" t="str">
        <f>IF($W$18="Subscription","Subscription","Maximum")</f>
        <v>Maximum</v>
      </c>
      <c r="W40" s="259"/>
      <c r="X40" s="259" t="s">
        <v>60</v>
      </c>
      <c r="Y40" s="259"/>
      <c r="Z40" s="259" t="s">
        <v>61</v>
      </c>
      <c r="AA40" s="259"/>
      <c r="AB40" s="259" t="s">
        <v>55</v>
      </c>
      <c r="AC40" s="259"/>
      <c r="AD40" s="259" t="s">
        <v>12</v>
      </c>
      <c r="AE40" s="259"/>
      <c r="AF40" s="91"/>
    </row>
    <row r="41" spans="2:37" ht="15" customHeight="1" x14ac:dyDescent="0.2">
      <c r="B41" s="84"/>
      <c r="C41" s="6" t="s">
        <v>103</v>
      </c>
      <c r="D41" s="6"/>
      <c r="E41" s="6"/>
      <c r="F41" s="6"/>
      <c r="G41" s="284">
        <f>SUMIF($H$38:$AE$38,"p",$H22:$AE22)/SUM($H22:$AE22)</f>
        <v>0</v>
      </c>
      <c r="H41" s="284"/>
      <c r="I41" s="284">
        <f>SUMIF($H$38:$AE$38,"m",$H22:$AE22)/SUM($H22:$AE22)</f>
        <v>0</v>
      </c>
      <c r="J41" s="284"/>
      <c r="K41" s="284">
        <f>SUMIF($H$38:$AE$38,"o",$H22:$AE22)/SUM($H22:$AE22)</f>
        <v>1</v>
      </c>
      <c r="L41" s="284"/>
      <c r="M41" s="285"/>
      <c r="N41" s="285"/>
      <c r="O41" s="6"/>
      <c r="P41" s="6"/>
      <c r="Q41" s="6" t="s">
        <v>104</v>
      </c>
      <c r="R41" s="6"/>
      <c r="S41" s="6"/>
      <c r="T41" s="260" t="str">
        <f>IF(ISNUMBER(FIND("SDG&amp;E AL-TOU2",$F$3)),MAX(X41:AA41),"")</f>
        <v/>
      </c>
      <c r="U41" s="260"/>
      <c r="V41" s="260">
        <f>IF($W$18="Subscription","",MAX(X41:AC41))</f>
        <v>0.65</v>
      </c>
      <c r="W41" s="260"/>
      <c r="X41" s="284">
        <f t="array" ref="X41">MAX(IF($H$38:$AE$38="p",$H$37:$AE$37))</f>
        <v>0</v>
      </c>
      <c r="Y41" s="284"/>
      <c r="Z41" s="284">
        <f t="array" ref="Z41">MAX(IF($H$38:$AE$38="m",$H$37:$AE$37))</f>
        <v>0</v>
      </c>
      <c r="AA41" s="284"/>
      <c r="AB41" s="284">
        <f t="array" ref="AB41">MAX(IF($H$38:$AE$38="o",$H$37:$AE$37))</f>
        <v>0.65</v>
      </c>
      <c r="AC41" s="284"/>
      <c r="AD41" s="285"/>
      <c r="AE41" s="285"/>
      <c r="AF41" s="91"/>
    </row>
    <row r="42" spans="2:37" x14ac:dyDescent="0.2">
      <c r="B42" s="84"/>
      <c r="C42" s="6" t="s">
        <v>101</v>
      </c>
      <c r="D42" s="6"/>
      <c r="E42" s="6"/>
      <c r="F42" s="6"/>
      <c r="G42" s="265">
        <f>IF( $W$18="Tier",IF(OR(VLOOKUP($F$3,Data!$A$33:$CN$78,Data!CM$32,FALSE)&gt;$M42,VLOOKUP($F$3,Data!$A$33:$CN$78,Data!CM$32,FALSE)=0),$M42,VLOOKUP($F$3,Data!$A$33:$CN$78,Data!CM$32,FALSE)),$M42*$G41)</f>
        <v>0</v>
      </c>
      <c r="H42" s="265"/>
      <c r="I42" s="265">
        <f>IF(
 $W$18="Tier",
 IF(
  OR($M42&lt;VLOOKUP($F$3,Data!$A$33:$CN$78,Data!CM$32,FALSE),VLOOKUP($F$3,Data!$A$33:$CN$78,Data!CM$32,FALSE)=0),
  0,
   IF(
    OR($M42&gt;VLOOKUP($F$3,Data!$A$33:$CN$78,Data!CM$32,FALSE),VLOOKUP($F$3,Data!$A$33:$CN$78,Data!CN$32,FALSE)=0),
    $M42-VLOOKUP($F$3,Data!$A$33:$CN$78,Data!CM$32,FALSE),
    VLOOKUP($F$3,Data!$A$33:$CN$78,Data!CN$32,FALSE)-VLOOKUP($F$3,Data!$A$33:$CN$78,Data!CM$32,FALSE)
   )
 ),
 $M42*$I41)</f>
        <v>0</v>
      </c>
      <c r="J42" s="265"/>
      <c r="K42" s="265">
        <f>IF($W$18="Tier",$M42-SUM($G42:$J42),$M42*$K41)</f>
        <v>2135000</v>
      </c>
      <c r="L42" s="265"/>
      <c r="M42" s="261">
        <f>+$F$8*$F$7*$F$6*30.5/$F$9</f>
        <v>2135000</v>
      </c>
      <c r="N42" s="261"/>
      <c r="O42" s="6"/>
      <c r="P42" s="6"/>
      <c r="Q42" s="6" t="s">
        <v>107</v>
      </c>
      <c r="R42" s="6"/>
      <c r="S42" s="6"/>
      <c r="T42" s="261" t="str">
        <f>IF(ISNUMBER(FIND("SDG&amp;E AL-TOU2",$F$3)),ROUND(MAX(X42:AA42),0),"")</f>
        <v/>
      </c>
      <c r="U42" s="262"/>
      <c r="V42" s="261">
        <f>IF($W$18="Subscription",$F$11,ROUND(MAX(X42:AC42),0))</f>
        <v>10400</v>
      </c>
      <c r="W42" s="262"/>
      <c r="X42" s="265">
        <f>VLOOKUP($F$5,Data!$A$9:$C$19,Data!$B$8,FALSE)*$O$18*$X$41</f>
        <v>0</v>
      </c>
      <c r="Y42" s="265"/>
      <c r="Z42" s="265">
        <f>VLOOKUP($F$5,Data!$A$9:$C$19,Data!$B$8,FALSE)*$O$18*$Z$41</f>
        <v>0</v>
      </c>
      <c r="AA42" s="265"/>
      <c r="AB42" s="265">
        <f>VLOOKUP($F$5,Data!$A$9:$C$19,Data!$B$8,FALSE)*$O$18*$AB$41</f>
        <v>10400</v>
      </c>
      <c r="AC42" s="265"/>
      <c r="AD42" s="261"/>
      <c r="AE42" s="261"/>
      <c r="AF42" s="91"/>
    </row>
    <row r="43" spans="2:37" ht="13.5" thickBot="1" x14ac:dyDescent="0.25">
      <c r="B43" s="84"/>
      <c r="C43" s="56" t="s">
        <v>100</v>
      </c>
      <c r="D43" s="56"/>
      <c r="E43" s="56"/>
      <c r="F43" s="56"/>
      <c r="G43" s="263">
        <f>IF($W$18="Tier",VLOOKUP($F$3,Data!$A$33:$CN$78,Data!CJ$32,FALSE),VLOOKUP($F$3,Data!$A$33:$CN$78,Data!$N$32,FALSE))</f>
        <v>0</v>
      </c>
      <c r="H43" s="263"/>
      <c r="I43" s="263">
        <f>IF($W$18="Tier",VLOOKUP($F$3,Data!$A$33:$CN$78,Data!CK$32,FALSE),VLOOKUP($F$3,Data!$A$33:$CN$78,Data!$O$32,FALSE))</f>
        <v>0.10940000000000001</v>
      </c>
      <c r="J43" s="263"/>
      <c r="K43" s="263">
        <f>IF($W$18="Tier",VLOOKUP($F$3,Data!$A$33:$CN$78,Data!CL$32,FALSE),VLOOKUP($F$3,Data!$A$33:$CN$78,Data!$P$32,FALSE))</f>
        <v>8.7100000000000011E-2</v>
      </c>
      <c r="L43" s="263"/>
      <c r="M43" s="266"/>
      <c r="N43" s="266"/>
      <c r="O43" s="6"/>
      <c r="P43" s="6"/>
      <c r="Q43" s="56" t="str">
        <f>IF($W$18="Subscription","Subscription Rate ($/kW)","Demand Rate ($/kW)")</f>
        <v>Demand Rate ($/kW)</v>
      </c>
      <c r="R43" s="56"/>
      <c r="S43" s="56"/>
      <c r="T43" s="263" t="str">
        <f>IF(ISNUMBER(FIND("SDG&amp;E AL-TOU2",$F$3)),19.7,"")</f>
        <v/>
      </c>
      <c r="U43" s="263"/>
      <c r="V43" s="263">
        <f>+VLOOKUP($F$3,Data!$A$33:$CN$78,Data!$G$32,FALSE)</f>
        <v>4.0199999999999996</v>
      </c>
      <c r="W43" s="263"/>
      <c r="X43" s="263">
        <f>+VLOOKUP($F$3,Data!$A$33:$CN$78,Data!$H$32,FALSE)</f>
        <v>0</v>
      </c>
      <c r="Y43" s="263"/>
      <c r="Z43" s="263">
        <f>+VLOOKUP($F$3,Data!$A$33:$CN$78,Data!$I$32,FALSE)</f>
        <v>0</v>
      </c>
      <c r="AA43" s="263"/>
      <c r="AB43" s="263">
        <f>+VLOOKUP($F$3,Data!$A$33:$CN$78,Data!$J$32,FALSE)</f>
        <v>0</v>
      </c>
      <c r="AC43" s="263"/>
      <c r="AD43" s="56"/>
      <c r="AE43" s="56"/>
      <c r="AF43" s="91"/>
    </row>
    <row r="44" spans="2:37" x14ac:dyDescent="0.2">
      <c r="B44" s="84"/>
      <c r="C44" s="92" t="s">
        <v>102</v>
      </c>
      <c r="D44" s="76"/>
      <c r="E44" s="76"/>
      <c r="F44" s="76"/>
      <c r="G44" s="269">
        <f>+G42*G43</f>
        <v>0</v>
      </c>
      <c r="H44" s="269"/>
      <c r="I44" s="270">
        <f>+I42*I43</f>
        <v>0</v>
      </c>
      <c r="J44" s="270"/>
      <c r="K44" s="270">
        <f>+K42*K43</f>
        <v>185958.50000000003</v>
      </c>
      <c r="L44" s="270"/>
      <c r="M44" s="269">
        <f>SUM(G44:L44)</f>
        <v>185958.50000000003</v>
      </c>
      <c r="N44" s="269"/>
      <c r="O44" s="6"/>
      <c r="P44" s="6"/>
      <c r="Q44" s="6" t="str">
        <f>IF($W$18="Subscription","Subscription Fee","Demand Charge")</f>
        <v>Demand Charge</v>
      </c>
      <c r="R44" s="6"/>
      <c r="S44" s="6"/>
      <c r="T44" s="264" t="str">
        <f>IF(ISNUMBER(FIND("SDG&amp;E AL-TOU2",$F$3)),T42*T43,"")</f>
        <v/>
      </c>
      <c r="U44" s="264"/>
      <c r="V44" s="283">
        <f>+V42*V43</f>
        <v>41807.999999999993</v>
      </c>
      <c r="W44" s="283"/>
      <c r="X44" s="283">
        <f>+X42*X43</f>
        <v>0</v>
      </c>
      <c r="Y44" s="283"/>
      <c r="Z44" s="283">
        <f>+Z42*Z43</f>
        <v>0</v>
      </c>
      <c r="AA44" s="283"/>
      <c r="AB44" s="283">
        <f>+AB42*AB43</f>
        <v>0</v>
      </c>
      <c r="AC44" s="283"/>
      <c r="AD44" s="283">
        <f>SUM(V44:AC44)</f>
        <v>41807.999999999993</v>
      </c>
      <c r="AE44" s="283"/>
      <c r="AF44" s="91"/>
    </row>
    <row r="45" spans="2:37" ht="15" x14ac:dyDescent="0.25">
      <c r="B45" s="84"/>
      <c r="C45" s="6"/>
      <c r="D45" s="6"/>
      <c r="E45" s="6"/>
      <c r="F45" s="6"/>
      <c r="G45" s="261"/>
      <c r="H45" s="261"/>
      <c r="I45" s="261"/>
      <c r="J45" s="261"/>
      <c r="K45" s="261"/>
      <c r="L45" s="261"/>
      <c r="M45" s="71"/>
      <c r="N45" s="71"/>
      <c r="O45" s="6"/>
      <c r="P45" s="6"/>
      <c r="Q45" s="6"/>
      <c r="R45" s="6"/>
      <c r="S45" s="6"/>
      <c r="T45" s="6"/>
      <c r="U45" s="6"/>
      <c r="V45" s="6"/>
      <c r="W45" s="6"/>
      <c r="X45" s="6"/>
      <c r="Y45" s="6"/>
      <c r="Z45" s="6"/>
      <c r="AA45" s="6"/>
      <c r="AB45" s="6"/>
      <c r="AC45" s="6"/>
      <c r="AD45" s="6"/>
      <c r="AE45" s="6"/>
      <c r="AF45" s="91"/>
    </row>
    <row r="46" spans="2:37" ht="15" x14ac:dyDescent="0.25">
      <c r="B46" s="84"/>
      <c r="C46" s="6"/>
      <c r="D46" s="6"/>
      <c r="E46" s="6"/>
      <c r="F46" s="6"/>
      <c r="G46" s="262"/>
      <c r="H46" s="262"/>
      <c r="I46" s="6"/>
      <c r="J46" s="6"/>
      <c r="K46" s="6"/>
      <c r="L46" s="6"/>
      <c r="M46" s="71"/>
      <c r="N46" s="71"/>
      <c r="O46" s="6"/>
      <c r="P46" s="6"/>
      <c r="Q46" s="76" t="str">
        <f>+"Winter Monthly  Bill  (with tax/fees &amp; $"&amp;FIXED(VLOOKUP($F$3,Data!$A$33:$CA$78,2),2)&amp;" meter cost)"</f>
        <v>Winter Monthly  Bill  (with tax/fees &amp; $107.95 meter cost)</v>
      </c>
      <c r="S46" s="72"/>
      <c r="T46" s="72"/>
      <c r="U46" s="72"/>
      <c r="V46" s="72"/>
      <c r="W46" s="72"/>
      <c r="X46" s="72"/>
      <c r="Y46" s="72"/>
      <c r="Z46" s="286">
        <f>(AD44+M44+VLOOKUP($F$3,Data!$A$33:$CA$78,2))*(1+$F$10)</f>
        <v>234710.68350000004</v>
      </c>
      <c r="AA46" s="286"/>
      <c r="AB46" s="72" t="s">
        <v>105</v>
      </c>
      <c r="AC46" s="72"/>
      <c r="AD46" s="93">
        <f>+Z46/M42</f>
        <v>0.10993474637002344</v>
      </c>
      <c r="AE46" s="94" t="s">
        <v>35</v>
      </c>
      <c r="AF46" s="91"/>
    </row>
    <row r="47" spans="2:37" ht="15.75" thickBot="1" x14ac:dyDescent="0.3">
      <c r="B47" s="86"/>
      <c r="C47" s="56"/>
      <c r="D47" s="56"/>
      <c r="E47" s="56"/>
      <c r="F47" s="56"/>
      <c r="G47" s="56"/>
      <c r="H47" s="56"/>
      <c r="I47" s="56"/>
      <c r="J47" s="56"/>
      <c r="K47" s="56"/>
      <c r="L47" s="56"/>
      <c r="M47" s="101"/>
      <c r="N47" s="101"/>
      <c r="O47" s="56"/>
      <c r="P47" s="56"/>
      <c r="Q47" s="56"/>
      <c r="R47" s="56"/>
      <c r="S47" s="56"/>
      <c r="T47" s="56"/>
      <c r="U47" s="56"/>
      <c r="V47" s="56"/>
      <c r="W47" s="56"/>
      <c r="X47" s="56"/>
      <c r="Y47" s="56"/>
      <c r="Z47" s="56"/>
      <c r="AA47" s="56"/>
      <c r="AB47" s="56"/>
      <c r="AC47" s="56"/>
      <c r="AD47" s="56"/>
      <c r="AE47" s="56"/>
      <c r="AF47" s="99"/>
    </row>
    <row r="48" spans="2:37" ht="15" x14ac:dyDescent="0.25">
      <c r="M48" s="71"/>
      <c r="N48" s="71"/>
    </row>
    <row r="49" spans="13:14" ht="15" x14ac:dyDescent="0.25">
      <c r="M49" s="71"/>
      <c r="N49" s="71"/>
    </row>
  </sheetData>
  <mergeCells count="121">
    <mergeCell ref="V40:W40"/>
    <mergeCell ref="G46:H46"/>
    <mergeCell ref="Z46:AA46"/>
    <mergeCell ref="G44:H44"/>
    <mergeCell ref="I44:J44"/>
    <mergeCell ref="K44:L44"/>
    <mergeCell ref="M44:N44"/>
    <mergeCell ref="V44:W44"/>
    <mergeCell ref="X44:Y44"/>
    <mergeCell ref="Z44:AA44"/>
    <mergeCell ref="K41:L41"/>
    <mergeCell ref="I41:J41"/>
    <mergeCell ref="G41:H41"/>
    <mergeCell ref="M41:N41"/>
    <mergeCell ref="V41:W41"/>
    <mergeCell ref="AB44:AC44"/>
    <mergeCell ref="AD44:AE44"/>
    <mergeCell ref="AD42:AE42"/>
    <mergeCell ref="G43:H43"/>
    <mergeCell ref="I43:J43"/>
    <mergeCell ref="K43:L43"/>
    <mergeCell ref="M43:N43"/>
    <mergeCell ref="V43:W43"/>
    <mergeCell ref="X43:Y43"/>
    <mergeCell ref="Z43:AA43"/>
    <mergeCell ref="AB43:AC43"/>
    <mergeCell ref="G42:H42"/>
    <mergeCell ref="I42:J42"/>
    <mergeCell ref="K42:L42"/>
    <mergeCell ref="M42:N42"/>
    <mergeCell ref="V42:W42"/>
    <mergeCell ref="X42:Y42"/>
    <mergeCell ref="Z42:AA42"/>
    <mergeCell ref="AB42:AC42"/>
    <mergeCell ref="T44:U44"/>
    <mergeCell ref="T43:U43"/>
    <mergeCell ref="AD29:AE29"/>
    <mergeCell ref="Z27:AA27"/>
    <mergeCell ref="V28:W28"/>
    <mergeCell ref="G45:H45"/>
    <mergeCell ref="I45:J45"/>
    <mergeCell ref="K45:L45"/>
    <mergeCell ref="G30:H30"/>
    <mergeCell ref="I30:J30"/>
    <mergeCell ref="K30:L30"/>
    <mergeCell ref="G28:H28"/>
    <mergeCell ref="G27:H27"/>
    <mergeCell ref="G29:H29"/>
    <mergeCell ref="I28:J28"/>
    <mergeCell ref="I27:J27"/>
    <mergeCell ref="V27:W27"/>
    <mergeCell ref="AD41:AE41"/>
    <mergeCell ref="X40:Y40"/>
    <mergeCell ref="Z40:AA40"/>
    <mergeCell ref="AB40:AC40"/>
    <mergeCell ref="AD40:AE40"/>
    <mergeCell ref="X41:Y41"/>
    <mergeCell ref="Z41:AA41"/>
    <mergeCell ref="AB41:AC41"/>
    <mergeCell ref="Z31:AA31"/>
    <mergeCell ref="V29:W29"/>
    <mergeCell ref="X29:Y29"/>
    <mergeCell ref="Z29:AA29"/>
    <mergeCell ref="Z28:AA28"/>
    <mergeCell ref="X27:Y27"/>
    <mergeCell ref="K26:L26"/>
    <mergeCell ref="I26:J26"/>
    <mergeCell ref="AB28:AC28"/>
    <mergeCell ref="X28:Y28"/>
    <mergeCell ref="Z26:AA26"/>
    <mergeCell ref="X26:Y26"/>
    <mergeCell ref="V26:W26"/>
    <mergeCell ref="AB26:AC26"/>
    <mergeCell ref="AB27:AC27"/>
    <mergeCell ref="AB29:AC29"/>
    <mergeCell ref="K28:L28"/>
    <mergeCell ref="N9:O9"/>
    <mergeCell ref="N10:O10"/>
    <mergeCell ref="T6:AF7"/>
    <mergeCell ref="F3:K3"/>
    <mergeCell ref="F6:G6"/>
    <mergeCell ref="F8:G8"/>
    <mergeCell ref="F9:G9"/>
    <mergeCell ref="P3:Q3"/>
    <mergeCell ref="F7:G7"/>
    <mergeCell ref="F4:K4"/>
    <mergeCell ref="F5:K5"/>
    <mergeCell ref="T8:AF9"/>
    <mergeCell ref="F10:G10"/>
    <mergeCell ref="M8:R8"/>
    <mergeCell ref="AD25:AE25"/>
    <mergeCell ref="AD27:AE27"/>
    <mergeCell ref="AB25:AC25"/>
    <mergeCell ref="G25:H25"/>
    <mergeCell ref="Z25:AA25"/>
    <mergeCell ref="V25:W25"/>
    <mergeCell ref="X25:Y25"/>
    <mergeCell ref="F11:G11"/>
    <mergeCell ref="T25:U25"/>
    <mergeCell ref="T26:U26"/>
    <mergeCell ref="T27:U27"/>
    <mergeCell ref="T28:U28"/>
    <mergeCell ref="T29:U29"/>
    <mergeCell ref="T40:U40"/>
    <mergeCell ref="T41:U41"/>
    <mergeCell ref="T42:U42"/>
    <mergeCell ref="K27:L27"/>
    <mergeCell ref="M28:N28"/>
    <mergeCell ref="G26:H26"/>
    <mergeCell ref="G40:H40"/>
    <mergeCell ref="I40:J40"/>
    <mergeCell ref="K40:L40"/>
    <mergeCell ref="M40:N40"/>
    <mergeCell ref="C22:G22"/>
    <mergeCell ref="I29:J29"/>
    <mergeCell ref="K29:L29"/>
    <mergeCell ref="M27:N27"/>
    <mergeCell ref="M29:N29"/>
    <mergeCell ref="I25:J25"/>
    <mergeCell ref="K25:L25"/>
    <mergeCell ref="M25:N25"/>
  </mergeCells>
  <conditionalFormatting sqref="H23:AE24 H38:AE38">
    <cfRule type="cellIs" dxfId="259" priority="13" stopIfTrue="1" operator="equal">
      <formula>"o"</formula>
    </cfRule>
    <cfRule type="cellIs" dxfId="258" priority="14" stopIfTrue="1" operator="equal">
      <formula>"p"</formula>
    </cfRule>
    <cfRule type="cellIs" dxfId="257" priority="15" stopIfTrue="1" operator="equal">
      <formula>"m"</formula>
    </cfRule>
  </conditionalFormatting>
  <conditionalFormatting sqref="H22:AE22 H37:AE37">
    <cfRule type="cellIs" dxfId="256" priority="10" operator="greaterThan">
      <formula>0</formula>
    </cfRule>
  </conditionalFormatting>
  <conditionalFormatting sqref="T3">
    <cfRule type="expression" dxfId="255" priority="334">
      <formula>AND(#REF!&gt;$S$18,#REF!&lt;$U$18)=FALSE</formula>
    </cfRule>
  </conditionalFormatting>
  <conditionalFormatting sqref="F11:G11">
    <cfRule type="expression" dxfId="254" priority="1">
      <formula>$W$18="Subscription"</formula>
    </cfRule>
  </conditionalFormatting>
  <dataValidations count="1">
    <dataValidation type="whole" operator="greaterThan" allowBlank="1" showInputMessage="1" showErrorMessage="1" sqref="F6">
      <formula1>0</formula1>
    </dataValidation>
  </dataValidations>
  <printOptions horizontalCentered="1"/>
  <pageMargins left="0.25" right="0.25" top="0.75" bottom="0.75" header="0.3" footer="0.3"/>
  <pageSetup scale="73" orientation="landscape" r:id="rId1"/>
  <headerFooter>
    <oddFooter>&amp;Z&amp;F</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Data!$Q$9:$Q$17</xm:f>
          </x14:formula1>
          <xm:sqref>C22</xm:sqref>
        </x14:dataValidation>
        <x14:dataValidation type="list" allowBlank="1" showInputMessage="1" showErrorMessage="1">
          <x14:formula1>
            <xm:f>Data!$G$9:$G$16</xm:f>
          </x14:formula1>
          <xm:sqref>F4</xm:sqref>
        </x14:dataValidation>
        <x14:dataValidation type="list" allowBlank="1" showInputMessage="1" showErrorMessage="1">
          <x14:formula1>
            <xm:f>Data!$A$33:$A$78</xm:f>
          </x14:formula1>
          <xm:sqref>F3</xm:sqref>
        </x14:dataValidation>
        <x14:dataValidation type="list" allowBlank="1" showInputMessage="1" showErrorMessage="1">
          <x14:formula1>
            <xm:f>Data!$A$9:$A$20</xm:f>
          </x14:formula1>
          <xm:sqref>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fitToPage="1"/>
  </sheetPr>
  <dimension ref="B1:AM155"/>
  <sheetViews>
    <sheetView showGridLines="0" zoomScaleNormal="100" workbookViewId="0"/>
  </sheetViews>
  <sheetFormatPr defaultRowHeight="12.75" outlineLevelRow="1" x14ac:dyDescent="0.2"/>
  <cols>
    <col min="1" max="1" width="1.42578125" style="1" customWidth="1"/>
    <col min="2" max="5" width="6.42578125" style="1" customWidth="1"/>
    <col min="6" max="6" width="8" style="1" customWidth="1"/>
    <col min="7" max="7" width="9.28515625" style="1" customWidth="1"/>
    <col min="8" max="22" width="6.7109375" style="1" customWidth="1"/>
    <col min="23" max="23" width="7.85546875" style="1" customWidth="1"/>
    <col min="24" max="31" width="6.7109375" style="1" customWidth="1"/>
    <col min="32" max="32" width="6.7109375" style="69" customWidth="1"/>
    <col min="33" max="34" width="8.7109375" style="69" customWidth="1"/>
    <col min="35" max="35" width="3.5703125" style="1" customWidth="1"/>
    <col min="36" max="36" width="6.7109375" style="1" customWidth="1"/>
    <col min="37" max="37" width="5.7109375" style="82" customWidth="1"/>
    <col min="38" max="39" width="3.5703125" style="1" customWidth="1"/>
    <col min="40" max="16384" width="9.140625" style="1"/>
  </cols>
  <sheetData>
    <row r="1" spans="2:39" ht="26.25" x14ac:dyDescent="0.4">
      <c r="C1" s="108" t="s">
        <v>348</v>
      </c>
      <c r="AG1" s="24"/>
      <c r="AH1" s="23"/>
      <c r="AI1" s="23"/>
      <c r="AJ1" s="24"/>
      <c r="AK1" s="102"/>
      <c r="AL1" s="23"/>
      <c r="AM1" s="23"/>
    </row>
    <row r="2" spans="2:39" ht="15" x14ac:dyDescent="0.25">
      <c r="S2" s="164">
        <f>MAX(X19:AC19,X31:AC31,X43:AC43,X55:AC55,X67:AC67,X79:AC79,X91:AC91,X103:AC103,X115:AC115,X127:AC127,X139:AC139,X151:AC151)</f>
        <v>380</v>
      </c>
      <c r="T2" s="298" t="str">
        <f>IF(AND($S$2&gt;$S$12,$S$2&lt;=$U$12)=FALSE,"Maximum demand of "&amp;$S$2&amp;" kW for charging "&amp;F6&amp;" vehicle(s) is not consistent with rate schedule.",IF(AND($W$12="Subscription",$F$9&lt;$S$2),"The selected subscription level is below anticipated demand in this scenario.",""))</f>
        <v/>
      </c>
      <c r="U2" s="298"/>
      <c r="V2" s="298"/>
      <c r="W2" s="298"/>
      <c r="X2" s="298"/>
      <c r="Y2" s="298"/>
      <c r="Z2" s="298"/>
      <c r="AA2" s="298"/>
      <c r="AB2" s="298"/>
      <c r="AC2" s="298"/>
      <c r="AD2" s="298"/>
      <c r="AE2" s="298"/>
      <c r="AF2" s="298"/>
      <c r="AH2" s="23"/>
      <c r="AI2" s="23"/>
      <c r="AJ2" s="23"/>
      <c r="AK2" s="102"/>
      <c r="AL2" s="23"/>
    </row>
    <row r="3" spans="2:39" ht="15" x14ac:dyDescent="0.25">
      <c r="B3" s="22" t="s">
        <v>153</v>
      </c>
      <c r="F3" s="267" t="s">
        <v>160</v>
      </c>
      <c r="G3" s="267"/>
      <c r="H3" s="267"/>
      <c r="I3" s="267"/>
      <c r="J3" s="267"/>
      <c r="K3" s="267"/>
      <c r="T3" s="136" t="str">
        <f>IF(OR(E12&gt;G12,E24&gt;G24,E36&gt;G36,E48&gt;G48,E60&gt;G60,E72&gt;G72,E84&gt;G84,E96&gt;G96,E108&gt;G108,E120&gt;G120,E132&gt;G132,E144&gt;G144),"Charger capacity is insufficient for energy needs within charging time available for at least one month.","")</f>
        <v/>
      </c>
      <c r="U3" s="89"/>
      <c r="V3" s="89"/>
      <c r="W3" s="89"/>
      <c r="X3" s="89"/>
      <c r="Y3" s="89"/>
      <c r="Z3" s="89"/>
      <c r="AA3" s="89"/>
      <c r="AB3" s="89"/>
      <c r="AC3" s="89"/>
      <c r="AD3" s="89"/>
      <c r="AE3" s="89"/>
      <c r="AF3" s="89"/>
      <c r="AH3" s="23"/>
      <c r="AI3" s="23"/>
      <c r="AJ3" s="23"/>
      <c r="AK3" s="102"/>
      <c r="AL3" s="23"/>
    </row>
    <row r="4" spans="2:39" ht="15.75" thickBot="1" x14ac:dyDescent="0.3">
      <c r="B4" s="22" t="s">
        <v>3</v>
      </c>
      <c r="F4" s="274" t="s">
        <v>263</v>
      </c>
      <c r="G4" s="274"/>
      <c r="I4" s="81"/>
      <c r="T4" s="273" t="str">
        <f>IF(VLOOKUP($F$4,Data!$G$9:$L$16,Data!$J$8,FALSE)=0,"This on-route charging strategy that uses the charger for "&amp;VLOOKUP($F$4,Data!$G$9:$L$16,Data!$K$8,FALSE)&amp; " out of 15 minute intervals reduces demand to "&amp;FIXED(100*$I$12,0)&amp;"% of the maximum potential demand.",IF(VLOOKUP($F$4,Data!$G$9:$L$16,Data!L8,FALSE)="Software",IF($S$6&gt;0.75,"A managed charging strategy cannot lower demand currently. This is because the amount of time needed to charge the fleet is close to the maximum time available for charging.","A managed charging strategy can lower demand by charging "&amp; FIXED(100*$S$6+0.1,0) &amp;"% of your fleet at a time instead of all vehicles simultaneously or lowering charger power."),"An unmanaged charging strategy assumes that all vehicles will be plugged in simultaneously at maximum power, meaning the fleet will incur maximum demand fees."))</f>
        <v>A managed charging strategy cannot lower demand currently. This is because the amount of time needed to charge the fleet is close to the maximum time available for charging.</v>
      </c>
      <c r="U4" s="273"/>
      <c r="V4" s="273"/>
      <c r="W4" s="273"/>
      <c r="X4" s="273"/>
      <c r="Y4" s="273"/>
      <c r="Z4" s="273"/>
      <c r="AA4" s="273"/>
      <c r="AB4" s="273"/>
      <c r="AC4" s="273"/>
      <c r="AD4" s="273"/>
      <c r="AE4" s="273"/>
      <c r="AF4" s="273"/>
    </row>
    <row r="5" spans="2:39" ht="15" x14ac:dyDescent="0.25">
      <c r="B5" s="25" t="s">
        <v>301</v>
      </c>
      <c r="F5" s="274" t="s">
        <v>299</v>
      </c>
      <c r="G5" s="274"/>
      <c r="I5" s="81"/>
      <c r="L5" s="288" t="s">
        <v>59</v>
      </c>
      <c r="M5" s="289"/>
      <c r="N5" s="289"/>
      <c r="O5" s="289"/>
      <c r="P5" s="289"/>
      <c r="Q5" s="290"/>
      <c r="T5" s="273"/>
      <c r="U5" s="273"/>
      <c r="V5" s="273"/>
      <c r="W5" s="273"/>
      <c r="X5" s="273"/>
      <c r="Y5" s="273"/>
      <c r="Z5" s="273"/>
      <c r="AA5" s="273"/>
      <c r="AB5" s="273"/>
      <c r="AC5" s="273"/>
      <c r="AD5" s="273"/>
      <c r="AE5" s="273"/>
      <c r="AF5" s="273"/>
    </row>
    <row r="6" spans="2:39" ht="15.75" x14ac:dyDescent="0.25">
      <c r="B6" s="25" t="s">
        <v>165</v>
      </c>
      <c r="F6" s="274">
        <v>20</v>
      </c>
      <c r="G6" s="274"/>
      <c r="I6" s="81"/>
      <c r="L6" s="84"/>
      <c r="M6" s="292">
        <f>SUM(W11,W23,W35,W47,W59,W71,W83,W95,W107,W119,W131,W143)/SUM(M19,M31,M43,M55,M67,M79,M91,M103,M115,M127,M139,M151)</f>
        <v>0.1143645656204974</v>
      </c>
      <c r="N6" s="292"/>
      <c r="O6" s="224" t="s">
        <v>14</v>
      </c>
      <c r="P6" s="224"/>
      <c r="Q6" s="85"/>
      <c r="S6" s="225">
        <f>MAX(C12,C24,C36,C48,C60,C72,C84,C96,C108,C120,C132,C144)</f>
        <v>0.9</v>
      </c>
      <c r="T6" s="279" t="str">
        <f>IF(VLOOKUP($F$3,Data!$A$33:$CO$78,Data!$CO$32,FALSE)&lt;&gt;"",VLOOKUP($F$3,Data!$A$33:$CO$78,Data!$CO$32,FALSE),"")</f>
        <v/>
      </c>
      <c r="U6" s="279"/>
      <c r="V6" s="279"/>
      <c r="W6" s="279"/>
      <c r="X6" s="279"/>
      <c r="Y6" s="279"/>
      <c r="Z6" s="279"/>
      <c r="AA6" s="279"/>
      <c r="AB6" s="279"/>
      <c r="AC6" s="279"/>
      <c r="AD6" s="279"/>
      <c r="AE6" s="279"/>
      <c r="AF6" s="279"/>
    </row>
    <row r="7" spans="2:39" ht="15.75" thickBot="1" x14ac:dyDescent="0.3">
      <c r="B7" s="25" t="s">
        <v>133</v>
      </c>
      <c r="F7" s="275">
        <v>0.9</v>
      </c>
      <c r="G7" s="275"/>
      <c r="L7" s="86"/>
      <c r="M7" s="299">
        <f>SUM(W11,W23,W35,W47,W59,W71,W83,W95,W107,W119,W131,W143)/SUM(M19/O11,M31/O23,M43/O35,M55/O47,M67/O59,M79/O71,M91/O83,M103/O95,M115/O107,M127/O119,M139/O131,M151/O143)</f>
        <v>0.10073673946751276</v>
      </c>
      <c r="N7" s="299"/>
      <c r="O7" s="300" t="s">
        <v>98</v>
      </c>
      <c r="P7" s="300"/>
      <c r="Q7" s="87"/>
      <c r="T7" s="279"/>
      <c r="U7" s="279"/>
      <c r="V7" s="279"/>
      <c r="W7" s="279"/>
      <c r="X7" s="279"/>
      <c r="Y7" s="279"/>
      <c r="Z7" s="279"/>
      <c r="AA7" s="279"/>
      <c r="AB7" s="279"/>
      <c r="AC7" s="279"/>
      <c r="AD7" s="279"/>
      <c r="AE7" s="279"/>
      <c r="AF7" s="279"/>
    </row>
    <row r="8" spans="2:39" ht="15" x14ac:dyDescent="0.25">
      <c r="B8" s="25" t="s">
        <v>328</v>
      </c>
      <c r="F8" s="275">
        <v>0.03</v>
      </c>
      <c r="G8" s="275"/>
      <c r="AF8" s="1"/>
    </row>
    <row r="9" spans="2:39" ht="15" x14ac:dyDescent="0.25">
      <c r="B9" s="251" t="str">
        <f>IF($W$12="Subscription","Subscription Level (kW)","")</f>
        <v/>
      </c>
      <c r="C9" s="3"/>
      <c r="D9" s="3"/>
      <c r="E9" s="3"/>
      <c r="F9" s="258"/>
      <c r="G9" s="258"/>
      <c r="W9" s="68" t="s">
        <v>123</v>
      </c>
      <c r="Y9" s="40" t="s">
        <v>60</v>
      </c>
      <c r="Z9" s="49"/>
      <c r="AB9" s="40" t="s">
        <v>61</v>
      </c>
      <c r="AC9" s="50"/>
      <c r="AE9" s="40" t="s">
        <v>55</v>
      </c>
      <c r="AF9" s="51"/>
    </row>
    <row r="10" spans="2:39"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row>
    <row r="11" spans="2:39" ht="15.75" collapsed="1" x14ac:dyDescent="0.25">
      <c r="B11" s="184" t="s">
        <v>171</v>
      </c>
      <c r="C11" s="6"/>
      <c r="D11" s="6"/>
      <c r="E11" s="165" t="s">
        <v>172</v>
      </c>
      <c r="F11" s="167">
        <v>120</v>
      </c>
      <c r="G11" s="168" t="s">
        <v>173</v>
      </c>
      <c r="H11" s="6"/>
      <c r="I11" s="165" t="s">
        <v>222</v>
      </c>
      <c r="J11" s="294" t="s">
        <v>367</v>
      </c>
      <c r="K11" s="294"/>
      <c r="L11" s="294"/>
      <c r="M11" s="6"/>
      <c r="N11" s="165" t="s">
        <v>205</v>
      </c>
      <c r="O11" s="170">
        <v>0.8</v>
      </c>
      <c r="P11" s="168" t="s">
        <v>206</v>
      </c>
      <c r="Q11" s="6"/>
      <c r="R11" s="76"/>
      <c r="S11" s="72"/>
      <c r="T11" s="6"/>
      <c r="U11" s="6"/>
      <c r="V11" s="171" t="str">
        <f>+"January Monthly Bill (with taxes/fees) = "</f>
        <v xml:space="preserve">January Monthly Bill (with taxes/fees) = </v>
      </c>
      <c r="W11" s="172">
        <f>(AD21+M21+VLOOKUP($F$3,Data!$A$33:$CA$78,2))*(1+$F$8)</f>
        <v>7050.1474333333326</v>
      </c>
      <c r="X11" s="72"/>
      <c r="Y11" s="68"/>
      <c r="Z11" s="68"/>
      <c r="AA11" s="239"/>
      <c r="AB11" s="239" t="str">
        <f>"Cost = $"&amp;FIXED(W11/M19,2) &amp; "/kWh"</f>
        <v>Cost = $0.11/kWh</v>
      </c>
      <c r="AC11" s="222" t="s">
        <v>344</v>
      </c>
      <c r="AD11" s="173" t="str">
        <f>"$"&amp; FIXED(W11*O11/M19,2)&amp;"/mi."</f>
        <v>$0.09/mi.</v>
      </c>
      <c r="AE11" s="72"/>
      <c r="AF11" s="185"/>
      <c r="AH11" s="88"/>
      <c r="AI11" s="23"/>
      <c r="AK11" s="102"/>
      <c r="AL11" s="23"/>
    </row>
    <row r="12" spans="2:39" s="138" customFormat="1" hidden="1" outlineLevel="1" x14ac:dyDescent="0.2">
      <c r="B12" s="186" t="s">
        <v>122</v>
      </c>
      <c r="C12" s="240">
        <f>ROUND(2*$E12/$G12,1)/2</f>
        <v>0.7</v>
      </c>
      <c r="D12" s="156" t="s">
        <v>120</v>
      </c>
      <c r="E12" s="245">
        <f>+$O11*$F11*$M12/($F$7*$Q12)</f>
        <v>5.6140350877192979</v>
      </c>
      <c r="F12" s="156" t="s">
        <v>119</v>
      </c>
      <c r="G12" s="246">
        <f>+VLOOKUP($J11,Data!$Q$9:$BQ$17,Data!$BP$8,FALSE)</f>
        <v>8</v>
      </c>
      <c r="H12" s="143" t="s">
        <v>116</v>
      </c>
      <c r="I12" s="155">
        <f>IF(VLOOKUP($F$4,Data!$G$9:$L$16,Data!$L$8,FALSE)&lt;1,VLOOKUP($F$4,Data!$G$9:$L$16,Data!$L$8,FALSE),1)</f>
        <v>1</v>
      </c>
      <c r="J12" s="143" t="s">
        <v>117</v>
      </c>
      <c r="K12" s="240">
        <f>IF(VLOOKUP($F$4,Data!$G$9:$L$16,Data!$L$8,FALSE)="software",IF($C12&gt;0.75,1,$C12+0.1),1)</f>
        <v>0.79999999999999993</v>
      </c>
      <c r="L12" s="143" t="s">
        <v>109</v>
      </c>
      <c r="M12" s="246">
        <f>+VLOOKUP($F$4,Data!$G$9:$L$16,Data!$I$8)</f>
        <v>1</v>
      </c>
      <c r="N12" s="143" t="s">
        <v>108</v>
      </c>
      <c r="O12" s="247">
        <f>INT($F$6/$M12)+IF(($F$6/$M12-INT($F$6/$M12))&gt;0,1,0)</f>
        <v>20</v>
      </c>
      <c r="P12" s="143" t="s">
        <v>121</v>
      </c>
      <c r="Q12" s="143">
        <f>VLOOKUP($F$5,Data!$A$9:$C$19,Data!$B$8,FALSE)</f>
        <v>19</v>
      </c>
      <c r="R12" s="144" t="s">
        <v>25</v>
      </c>
      <c r="S12" s="247">
        <f>VLOOKUP($F$3,Data!$A$33:$CN$78,Data!$CB$32,FALSE)</f>
        <v>300</v>
      </c>
      <c r="T12" s="144" t="s">
        <v>26</v>
      </c>
      <c r="U12" s="247">
        <f>IF(VLOOKUP($F$3,Data!$A$33:$CN$78,Data!$CC$32)="N/A",10000000,VLOOKUP($F$3,Data!$A$33:$CN$78,Data!$CC$32,FALSE))</f>
        <v>500</v>
      </c>
      <c r="V12" s="144" t="s">
        <v>40</v>
      </c>
      <c r="W12" s="158" t="str">
        <f>VLOOKUP($F$3,Data!$A$33:$CN$78,Data!CD$32,FALSE)</f>
        <v>TOU</v>
      </c>
      <c r="X12" s="157" t="s">
        <v>144</v>
      </c>
      <c r="Y12" s="248">
        <f>VLOOKUP($F$3,Data!$A$33:$CN$78,Data!$BZ$32)</f>
        <v>3</v>
      </c>
      <c r="Z12" s="144"/>
      <c r="AA12" s="144"/>
      <c r="AB12" s="144"/>
      <c r="AC12" s="144"/>
      <c r="AD12" s="144"/>
      <c r="AE12" s="144"/>
      <c r="AF12" s="255"/>
      <c r="AG12" s="179"/>
      <c r="AH12" s="140"/>
      <c r="AI12" s="137"/>
      <c r="AK12" s="139"/>
      <c r="AL12" s="141"/>
      <c r="AM12" s="141"/>
    </row>
    <row r="13" spans="2:39" ht="15.75" hidden="1" outlineLevel="1" x14ac:dyDescent="0.25">
      <c r="B13" s="187"/>
      <c r="C13" s="130" t="s">
        <v>222</v>
      </c>
      <c r="D13" s="65"/>
      <c r="E13" s="65"/>
      <c r="F13" s="6"/>
      <c r="G13" s="6"/>
      <c r="H13" s="66" t="s">
        <v>74</v>
      </c>
      <c r="I13" s="66" t="s">
        <v>75</v>
      </c>
      <c r="J13" s="66" t="s">
        <v>76</v>
      </c>
      <c r="K13" s="66" t="s">
        <v>77</v>
      </c>
      <c r="L13" s="66" t="s">
        <v>78</v>
      </c>
      <c r="M13" s="66" t="s">
        <v>79</v>
      </c>
      <c r="N13" s="66" t="s">
        <v>80</v>
      </c>
      <c r="O13" s="66" t="s">
        <v>81</v>
      </c>
      <c r="P13" s="66" t="s">
        <v>82</v>
      </c>
      <c r="Q13" s="66" t="s">
        <v>83</v>
      </c>
      <c r="R13" s="66" t="s">
        <v>84</v>
      </c>
      <c r="S13" s="66" t="s">
        <v>85</v>
      </c>
      <c r="T13" s="66" t="s">
        <v>86</v>
      </c>
      <c r="U13" s="66" t="s">
        <v>87</v>
      </c>
      <c r="V13" s="66" t="s">
        <v>88</v>
      </c>
      <c r="W13" s="66" t="s">
        <v>89</v>
      </c>
      <c r="X13" s="66" t="s">
        <v>90</v>
      </c>
      <c r="Y13" s="66" t="s">
        <v>91</v>
      </c>
      <c r="Z13" s="66" t="s">
        <v>92</v>
      </c>
      <c r="AA13" s="66" t="s">
        <v>93</v>
      </c>
      <c r="AB13" s="66" t="s">
        <v>94</v>
      </c>
      <c r="AC13" s="66" t="s">
        <v>95</v>
      </c>
      <c r="AD13" s="66" t="s">
        <v>96</v>
      </c>
      <c r="AE13" s="66" t="s">
        <v>97</v>
      </c>
      <c r="AF13" s="188"/>
      <c r="AI13" s="23"/>
      <c r="AJ13" s="23"/>
      <c r="AK13" s="102"/>
    </row>
    <row r="14" spans="2:39" ht="15.75" hidden="1" outlineLevel="1" x14ac:dyDescent="0.25">
      <c r="B14" s="187"/>
      <c r="C14" s="241" t="str">
        <f>J11</f>
        <v>Late Evening (10p-6a)</v>
      </c>
      <c r="D14" s="242"/>
      <c r="E14" s="242"/>
      <c r="F14" s="242"/>
      <c r="G14" s="242"/>
      <c r="H14" s="151">
        <f>$I12*$K12*VLOOKUP($C14,Data!$Q$9:$BO$17,Data!T$8,FALSE)</f>
        <v>0</v>
      </c>
      <c r="I14" s="151">
        <f>$I12*$K12*VLOOKUP($C14,Data!$Q$9:$BO$17,Data!U$8,FALSE)</f>
        <v>0</v>
      </c>
      <c r="J14" s="151">
        <f>$I12*$K12*VLOOKUP($C14,Data!$Q$9:$BO$17,Data!V$8,FALSE)</f>
        <v>0</v>
      </c>
      <c r="K14" s="151">
        <f>$I12*$K12*VLOOKUP($C14,Data!$Q$9:$BO$17,Data!W$8,FALSE)</f>
        <v>0</v>
      </c>
      <c r="L14" s="151">
        <f>$I12*$K12*VLOOKUP($C14,Data!$Q$9:$BO$17,Data!X$8,FALSE)</f>
        <v>0</v>
      </c>
      <c r="M14" s="151">
        <f>$I12*$K12*VLOOKUP($C14,Data!$Q$9:$BO$17,Data!Y$8,FALSE)</f>
        <v>0</v>
      </c>
      <c r="N14" s="151">
        <f>$I12*$K12*VLOOKUP($C14,Data!$Q$9:$BO$17,Data!Z$8,FALSE)</f>
        <v>0</v>
      </c>
      <c r="O14" s="151">
        <f>$I12*$K12*VLOOKUP($C14,Data!$Q$9:$BO$17,Data!AA$8,FALSE)</f>
        <v>0</v>
      </c>
      <c r="P14" s="151">
        <f>$I12*$K12*VLOOKUP($C14,Data!$Q$9:$BO$17,Data!AB$8,FALSE)</f>
        <v>0</v>
      </c>
      <c r="Q14" s="151">
        <f>$I12*$K12*VLOOKUP($C14,Data!$Q$9:$BO$17,Data!AC$8,FALSE)</f>
        <v>0</v>
      </c>
      <c r="R14" s="151">
        <f>$I12*$K12*VLOOKUP($C14,Data!$Q$9:$BO$17,Data!AD$8,FALSE)</f>
        <v>0.79999999999999993</v>
      </c>
      <c r="S14" s="151">
        <f>$I12*$K12*VLOOKUP($C14,Data!$Q$9:$BO$17,Data!AE$8,FALSE)</f>
        <v>0.79999999999999993</v>
      </c>
      <c r="T14" s="151">
        <f>$I12*$K12*VLOOKUP($C14,Data!$Q$9:$BO$17,Data!AF$8,FALSE)</f>
        <v>0.79999999999999993</v>
      </c>
      <c r="U14" s="151">
        <f>$I12*$K12*VLOOKUP($C14,Data!$Q$9:$BO$17,Data!AG$8,FALSE)</f>
        <v>0.79999999999999993</v>
      </c>
      <c r="V14" s="151">
        <f>$I12*$K12*VLOOKUP($C14,Data!$Q$9:$BO$17,Data!AH$8,FALSE)</f>
        <v>0.79999999999999993</v>
      </c>
      <c r="W14" s="151">
        <f>$I12*$K12*VLOOKUP($C14,Data!$Q$9:$BO$17,Data!AI$8,FALSE)</f>
        <v>0.79999999999999993</v>
      </c>
      <c r="X14" s="151">
        <f>$I12*$K12*VLOOKUP($C14,Data!$Q$9:$BO$17,Data!AJ$8,FALSE)</f>
        <v>0.79999999999999993</v>
      </c>
      <c r="Y14" s="151">
        <f>$I12*$K12*VLOOKUP($C14,Data!$Q$9:$BO$17,Data!AK$8,FALSE)</f>
        <v>0.79999999999999993</v>
      </c>
      <c r="Z14" s="151">
        <f>$I12*$K12*VLOOKUP($C14,Data!$Q$9:$BO$17,Data!AL$8,FALSE)</f>
        <v>0</v>
      </c>
      <c r="AA14" s="151">
        <f>$I12*$K12*VLOOKUP($C14,Data!$Q$9:$BO$17,Data!AM$8,FALSE)</f>
        <v>0</v>
      </c>
      <c r="AB14" s="151">
        <f>$I12*$K12*VLOOKUP($C14,Data!$Q$9:$BO$17,Data!AN$8,FALSE)</f>
        <v>0</v>
      </c>
      <c r="AC14" s="151">
        <f>$I12*$K12*VLOOKUP($C14,Data!$Q$9:$BO$17,Data!AO$8,FALSE)</f>
        <v>0</v>
      </c>
      <c r="AD14" s="151">
        <f>$I12*$K12*VLOOKUP($C14,Data!$Q$9:$BO$17,Data!AP$8,FALSE)</f>
        <v>0</v>
      </c>
      <c r="AE14" s="151">
        <f>$I12*$K12*VLOOKUP($C14,Data!$Q$9:$BO$17,Data!AQ$8,FALSE)</f>
        <v>0</v>
      </c>
      <c r="AF14" s="189"/>
      <c r="AI14" s="68"/>
    </row>
    <row r="15" spans="2:39" ht="15.75" hidden="1" outlineLevel="1" x14ac:dyDescent="0.25">
      <c r="B15" s="187"/>
      <c r="C15" s="126" t="s">
        <v>174</v>
      </c>
      <c r="D15" s="6"/>
      <c r="E15" s="6"/>
      <c r="F15" s="6"/>
      <c r="G15" s="6"/>
      <c r="H15" s="133" t="str">
        <f>IF(VLOOKUP($F$3,Data!$A$33:$BY$78,Data!$BN$32,FALSE)=1,VLOOKUP($F$3,Data!$A$33:$BM$78,Data!R$32,FALSE),VLOOKUP($F$3,Data!$A$33:$BM$78,Data!AP$32,FALSE))</f>
        <v>m</v>
      </c>
      <c r="I15" s="133" t="str">
        <f>IF(VLOOKUP($F$3,Data!$A$33:$BY$78,Data!$BN$32,FALSE)=1,VLOOKUP($F$3,Data!$A$33:$BM$78,Data!S$32,FALSE),VLOOKUP($F$3,Data!$A$33:$BM$78,Data!AQ$32,FALSE))</f>
        <v>m</v>
      </c>
      <c r="J15" s="133" t="str">
        <f>IF(VLOOKUP($F$3,Data!$A$33:$BY$78,Data!$BN$32,FALSE)=1,VLOOKUP($F$3,Data!$A$33:$BM$78,Data!T$32,FALSE),VLOOKUP($F$3,Data!$A$33:$BM$78,Data!AR$32,FALSE))</f>
        <v>m</v>
      </c>
      <c r="K15" s="133" t="str">
        <f>IF(VLOOKUP($F$3,Data!$A$33:$BY$78,Data!$BN$32,FALSE)=1,VLOOKUP($F$3,Data!$A$33:$BM$78,Data!U$32,FALSE),VLOOKUP($F$3,Data!$A$33:$BM$78,Data!AS$32,FALSE))</f>
        <v>m</v>
      </c>
      <c r="L15" s="133" t="str">
        <f>IF(VLOOKUP($F$3,Data!$A$33:$BY$78,Data!$BN$32,FALSE)=1,VLOOKUP($F$3,Data!$A$33:$BM$78,Data!V$32,FALSE),VLOOKUP($F$3,Data!$A$33:$BM$78,Data!AT$32,FALSE))</f>
        <v>m</v>
      </c>
      <c r="M15" s="133" t="str">
        <f>IF(VLOOKUP($F$3,Data!$A$33:$BY$78,Data!$BN$32,FALSE)=1,VLOOKUP($F$3,Data!$A$33:$BM$78,Data!W$32,FALSE),VLOOKUP($F$3,Data!$A$33:$BM$78,Data!AU$32,FALSE))</f>
        <v>m</v>
      </c>
      <c r="N15" s="133" t="str">
        <f>IF(VLOOKUP($F$3,Data!$A$33:$BY$78,Data!$BN$32,FALSE)=1,VLOOKUP($F$3,Data!$A$33:$BM$78,Data!X$32,FALSE),VLOOKUP($F$3,Data!$A$33:$BM$78,Data!AV$32,FALSE))</f>
        <v>m</v>
      </c>
      <c r="O15" s="133" t="str">
        <f>IF(VLOOKUP($F$3,Data!$A$33:$BY$78,Data!$BN$32,FALSE)=1,VLOOKUP($F$3,Data!$A$33:$BM$78,Data!Y$32,FALSE),VLOOKUP($F$3,Data!$A$33:$BM$78,Data!AW$32,FALSE))</f>
        <v>m</v>
      </c>
      <c r="P15" s="133" t="str">
        <f>IF(VLOOKUP($F$3,Data!$A$33:$BY$78,Data!$BN$32,FALSE)=1,VLOOKUP($F$3,Data!$A$33:$BM$78,Data!Z$32,FALSE),VLOOKUP($F$3,Data!$A$33:$BM$78,Data!AX$32,FALSE))</f>
        <v>m</v>
      </c>
      <c r="Q15" s="133" t="str">
        <f>IF(VLOOKUP($F$3,Data!$A$33:$BY$78,Data!$BN$32,FALSE)=1,VLOOKUP($F$3,Data!$A$33:$BM$78,Data!AA$32,FALSE),VLOOKUP($F$3,Data!$A$33:$BM$78,Data!AY$32,FALSE))</f>
        <v>m</v>
      </c>
      <c r="R15" s="133" t="str">
        <f>IF(VLOOKUP($F$3,Data!$A$33:$BY$78,Data!$BN$32,FALSE)=1,VLOOKUP($F$3,Data!$A$33:$BM$78,Data!AB$32,FALSE),VLOOKUP($F$3,Data!$A$33:$BM$78,Data!AZ$32,FALSE))</f>
        <v>o</v>
      </c>
      <c r="S15" s="133" t="str">
        <f>IF(VLOOKUP($F$3,Data!$A$33:$BY$78,Data!$BN$32,FALSE)=1,VLOOKUP($F$3,Data!$A$33:$BM$78,Data!AC$32,FALSE),VLOOKUP($F$3,Data!$A$33:$BM$78,Data!BA$32,FALSE))</f>
        <v>o</v>
      </c>
      <c r="T15" s="133" t="str">
        <f>IF(VLOOKUP($F$3,Data!$A$33:$BY$78,Data!$BN$32,FALSE)=1,VLOOKUP($F$3,Data!$A$33:$BM$78,Data!AD$32,FALSE),VLOOKUP($F$3,Data!$A$33:$BM$78,Data!BB$32,FALSE))</f>
        <v>o</v>
      </c>
      <c r="U15" s="133" t="str">
        <f>IF(VLOOKUP($F$3,Data!$A$33:$BY$78,Data!$BN$32,FALSE)=1,VLOOKUP($F$3,Data!$A$33:$BM$78,Data!AE$32,FALSE),VLOOKUP($F$3,Data!$A$33:$BM$78,Data!BC$32,FALSE))</f>
        <v>o</v>
      </c>
      <c r="V15" s="133" t="str">
        <f>IF(VLOOKUP($F$3,Data!$A$33:$BY$78,Data!$BN$32,FALSE)=1,VLOOKUP($F$3,Data!$A$33:$BM$78,Data!AF$32,FALSE),VLOOKUP($F$3,Data!$A$33:$BM$78,Data!BD$32,FALSE))</f>
        <v>o</v>
      </c>
      <c r="W15" s="133" t="str">
        <f>IF(VLOOKUP($F$3,Data!$A$33:$BY$78,Data!$BN$32,FALSE)=1,VLOOKUP($F$3,Data!$A$33:$BM$78,Data!AG$32,FALSE),VLOOKUP($F$3,Data!$A$33:$BM$78,Data!BE$32,FALSE))</f>
        <v>o</v>
      </c>
      <c r="X15" s="133" t="str">
        <f>IF(VLOOKUP($F$3,Data!$A$33:$BY$78,Data!$BN$32,FALSE)=1,VLOOKUP($F$3,Data!$A$33:$BM$78,Data!AH$32,FALSE),VLOOKUP($F$3,Data!$A$33:$BM$78,Data!BF$32,FALSE))</f>
        <v>o</v>
      </c>
      <c r="Y15" s="133" t="str">
        <f>IF(VLOOKUP($F$3,Data!$A$33:$BY$78,Data!$BN$32,FALSE)=1,VLOOKUP($F$3,Data!$A$33:$BM$78,Data!AI$32,FALSE),VLOOKUP($F$3,Data!$A$33:$BM$78,Data!BG$32,FALSE))</f>
        <v>o</v>
      </c>
      <c r="Z15" s="133" t="str">
        <f>IF(VLOOKUP($F$3,Data!$A$33:$BY$78,Data!$BN$32,FALSE)=1,VLOOKUP($F$3,Data!$A$33:$BM$78,Data!AJ$32,FALSE),VLOOKUP($F$3,Data!$A$33:$BM$78,Data!BH$32,FALSE))</f>
        <v>o</v>
      </c>
      <c r="AA15" s="133" t="str">
        <f>IF(VLOOKUP($F$3,Data!$A$33:$BY$78,Data!$BN$32,FALSE)=1,VLOOKUP($F$3,Data!$A$33:$BM$78,Data!AK$32,FALSE),VLOOKUP($F$3,Data!$A$33:$BM$78,Data!BI$32,FALSE))</f>
        <v>o</v>
      </c>
      <c r="AB15" s="133" t="str">
        <f>IF(VLOOKUP($F$3,Data!$A$33:$BY$78,Data!$BN$32,FALSE)=1,VLOOKUP($F$3,Data!$A$33:$BM$78,Data!AL$32,FALSE),VLOOKUP($F$3,Data!$A$33:$BM$78,Data!BJ$32,FALSE))</f>
        <v>o</v>
      </c>
      <c r="AC15" s="133" t="str">
        <f>IF(VLOOKUP($F$3,Data!$A$33:$BY$78,Data!$BN$32,FALSE)=1,VLOOKUP($F$3,Data!$A$33:$BM$78,Data!AM$32,FALSE),VLOOKUP($F$3,Data!$A$33:$BM$78,Data!BK$32,FALSE))</f>
        <v>o</v>
      </c>
      <c r="AD15" s="133" t="str">
        <f>IF(VLOOKUP($F$3,Data!$A$33:$BY$78,Data!$BN$32,FALSE)=1,VLOOKUP($F$3,Data!$A$33:$BM$78,Data!AN$32,FALSE),VLOOKUP($F$3,Data!$A$33:$BM$78,Data!BL$32,FALSE))</f>
        <v>o</v>
      </c>
      <c r="AE15" s="133" t="str">
        <f>IF(VLOOKUP($F$3,Data!$A$33:$BY$78,Data!$BN$32,FALSE)=1,VLOOKUP($F$3,Data!$A$33:$BM$78,Data!AO$32,FALSE),VLOOKUP($F$3,Data!$A$33:$BM$78,Data!BM$32,FALSE))</f>
        <v>o</v>
      </c>
      <c r="AF15" s="189"/>
      <c r="AI15" s="23"/>
      <c r="AJ15" s="23"/>
      <c r="AK15" s="102"/>
    </row>
    <row r="16" spans="2:39" ht="15.75" hidden="1" outlineLevel="1" x14ac:dyDescent="0.25">
      <c r="B16" s="187"/>
      <c r="C16" s="126"/>
      <c r="D16" s="6"/>
      <c r="E16" s="6"/>
      <c r="F16" s="6"/>
      <c r="G16" s="6"/>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89"/>
      <c r="AI16" s="23"/>
      <c r="AJ16" s="23"/>
      <c r="AK16" s="102"/>
    </row>
    <row r="17" spans="2:39" ht="16.5" hidden="1" outlineLevel="1" thickBot="1" x14ac:dyDescent="0.3">
      <c r="B17" s="187"/>
      <c r="C17" s="73" t="s">
        <v>175</v>
      </c>
      <c r="D17" s="73"/>
      <c r="E17" s="73"/>
      <c r="F17" s="73"/>
      <c r="G17" s="259" t="str">
        <f>IF($W$12="Tier","Tier 1","On-Peak")</f>
        <v>On-Peak</v>
      </c>
      <c r="H17" s="259"/>
      <c r="I17" s="259" t="str">
        <f>IF($W$12="Tier","Tier 2","Mid-Peak")</f>
        <v>Mid-Peak</v>
      </c>
      <c r="J17" s="259"/>
      <c r="K17" s="259" t="str">
        <f>IF($W$12="Tier","Tier 3","Off-Peak")</f>
        <v>Off-Peak</v>
      </c>
      <c r="L17" s="259"/>
      <c r="M17" s="259" t="s">
        <v>12</v>
      </c>
      <c r="N17" s="259"/>
      <c r="O17" s="6"/>
      <c r="P17" s="6"/>
      <c r="Q17" s="243" t="str">
        <f>IF($W12="Subscription","January Subscription","January Demand")</f>
        <v>January Demand</v>
      </c>
      <c r="R17" s="243"/>
      <c r="S17" s="236"/>
      <c r="T17" s="259" t="str">
        <f>IF(ISNUMBER(FIND("SDG&amp;E AL-TOU2",$F$3)),"TOU Demand","")</f>
        <v/>
      </c>
      <c r="U17" s="259"/>
      <c r="V17" s="259" t="str">
        <f>IF($W12="Subscription","Subscription","Maximum")</f>
        <v>Maximum</v>
      </c>
      <c r="W17" s="259"/>
      <c r="X17" s="259" t="s">
        <v>60</v>
      </c>
      <c r="Y17" s="259"/>
      <c r="Z17" s="259" t="s">
        <v>61</v>
      </c>
      <c r="AA17" s="259"/>
      <c r="AB17" s="259" t="s">
        <v>55</v>
      </c>
      <c r="AC17" s="259"/>
      <c r="AD17" s="259" t="s">
        <v>12</v>
      </c>
      <c r="AE17" s="259"/>
      <c r="AF17" s="189"/>
    </row>
    <row r="18" spans="2:39" ht="15" hidden="1" customHeight="1" outlineLevel="1" x14ac:dyDescent="0.25">
      <c r="B18" s="187"/>
      <c r="C18" s="6" t="s">
        <v>103</v>
      </c>
      <c r="D18" s="6"/>
      <c r="E18" s="6"/>
      <c r="F18" s="6"/>
      <c r="G18" s="260">
        <f>SUMIF($H15:$AE15,"p",$H14:$AE14)/SUM($H14:$AE14)</f>
        <v>0</v>
      </c>
      <c r="H18" s="260"/>
      <c r="I18" s="260">
        <f>SUMIF($H15:$AE15,"m",$H14:$AE14)/SUM($H14:$AE14)</f>
        <v>0</v>
      </c>
      <c r="J18" s="260"/>
      <c r="K18" s="260">
        <f>SUMIF($H15:$AE15,"o",$H14:$AE14)/SUM($H14:$AE14)</f>
        <v>1</v>
      </c>
      <c r="L18" s="260"/>
      <c r="M18" s="6"/>
      <c r="N18" s="6"/>
      <c r="O18" s="6"/>
      <c r="P18" s="6"/>
      <c r="Q18" s="6" t="s">
        <v>104</v>
      </c>
      <c r="R18" s="6"/>
      <c r="S18" s="6"/>
      <c r="T18" s="291" t="str">
        <f>IF(ISNUMBER(FIND("SDG&amp;E AL-TOU2",$F$3)),MAX($X18:$AA18),"")</f>
        <v/>
      </c>
      <c r="U18" s="291"/>
      <c r="V18" s="260">
        <f>IF($W12="Subscription","",MAX($X18:$AC18))</f>
        <v>0.79999999999999993</v>
      </c>
      <c r="W18" s="260"/>
      <c r="X18" s="260">
        <f t="array" ref="X18">MAX(IF($H15:$AE15="p",$H14:$AE14))</f>
        <v>0</v>
      </c>
      <c r="Y18" s="260"/>
      <c r="Z18" s="260">
        <f t="array" ref="Z18">MAX(IF($H15:$AE15="m",$H14:$AE14))</f>
        <v>0</v>
      </c>
      <c r="AA18" s="260"/>
      <c r="AB18" s="260">
        <f t="array" ref="AB18">MAX(IF($H15:$AE15="o",$H14:$AE14))</f>
        <v>0.79999999999999993</v>
      </c>
      <c r="AC18" s="260"/>
      <c r="AD18" s="6"/>
      <c r="AE18" s="6"/>
      <c r="AF18" s="189"/>
    </row>
    <row r="19" spans="2:39" ht="15.75" hidden="1" outlineLevel="1" x14ac:dyDescent="0.25">
      <c r="B19" s="187"/>
      <c r="C19" s="6" t="s">
        <v>101</v>
      </c>
      <c r="D19" s="6"/>
      <c r="E19" s="6"/>
      <c r="F19" s="6"/>
      <c r="G19" s="265">
        <f>IF( $W$12="Tier",IF(OR(VLOOKUP($F$3,Data!$A$33:$CN$78,Data!CM$32,FALSE)&gt;$M19,VLOOKUP($F$3,Data!$A$33:$CN$78,Data!CM$32,FALSE)=0),$M19,VLOOKUP($F$3,Data!$A$33:$CN$78,Data!CM$32,FALSE)),$M19*$G18)</f>
        <v>0</v>
      </c>
      <c r="H19" s="265"/>
      <c r="I19" s="265">
        <f>IF(
 $W$12="Tier",
 IF(
  OR($M19&lt;VLOOKUP($F$3,Data!$A$33:$CN$78,Data!CM$32,FALSE),VLOOKUP($F$3,Data!$A$33:$CN$78,Data!CM$32,FALSE)=0),
  0,
   IF(
    OR($M19&gt;VLOOKUP($F$3,Data!$A$33:$CN$78,Data!CM$32,FALSE),VLOOKUP($F$3,Data!$A$33:$CN$78,Data!CN$32,FALSE)=0),
    $M19-VLOOKUP($F$3,Data!$A$33:$CN$78,Data!CM$32,FALSE),
    VLOOKUP($F$3,Data!$A$33:$CN$78,Data!CN$32,FALSE)-VLOOKUP($F$3,Data!$A$33:$CN$78,Data!CM$32,FALSE)
   )
 ),
 $M19*$I18)</f>
        <v>0</v>
      </c>
      <c r="J19" s="265"/>
      <c r="K19" s="265">
        <f>IF($W$12="Tier",$M19-SUM($G19:$J19),$M19*$K18)</f>
        <v>66133.333333333328</v>
      </c>
      <c r="L19" s="265"/>
      <c r="M19" s="261">
        <f>+$O$11*$F$11*$F$6*31/$F$7</f>
        <v>66133.333333333328</v>
      </c>
      <c r="N19" s="261"/>
      <c r="O19" s="6"/>
      <c r="P19" s="6"/>
      <c r="Q19" s="6" t="s">
        <v>107</v>
      </c>
      <c r="R19" s="6"/>
      <c r="S19" s="6"/>
      <c r="T19" s="262" t="str">
        <f>IF(ISNUMBER(FIND("SDG&amp;E AL-TOU2",$F$3)),ROUND(MAX($X19:$AA19),0),"")</f>
        <v/>
      </c>
      <c r="U19" s="262"/>
      <c r="V19" s="261">
        <f>IF($W12="Subscription",$F$9,ROUND(MAX($X19:$AC19),0))</f>
        <v>304</v>
      </c>
      <c r="W19" s="262"/>
      <c r="X19" s="265">
        <f>VLOOKUP($F$5,Data!$A$9:$C$21,Data!$B$8,FALSE)*$O12*$X18</f>
        <v>0</v>
      </c>
      <c r="Y19" s="265"/>
      <c r="Z19" s="265">
        <f>VLOOKUP($F$5,Data!$A$9:$C$21,Data!$B$8,FALSE)*$O12*$Z18</f>
        <v>0</v>
      </c>
      <c r="AA19" s="265"/>
      <c r="AB19" s="265">
        <f>VLOOKUP($F$5,Data!$A$9:$C$21,Data!$B$8,FALSE)*$O12*$AB18</f>
        <v>304</v>
      </c>
      <c r="AC19" s="265"/>
      <c r="AD19" s="261"/>
      <c r="AE19" s="261"/>
      <c r="AF19" s="189"/>
    </row>
    <row r="20" spans="2:39" ht="16.5" hidden="1" outlineLevel="1" thickBot="1" x14ac:dyDescent="0.3">
      <c r="B20" s="187"/>
      <c r="C20" s="56" t="s">
        <v>100</v>
      </c>
      <c r="D20" s="56"/>
      <c r="E20" s="56"/>
      <c r="F20" s="56"/>
      <c r="G20" s="263">
        <f>IF($W$12="Tier",IF(VLOOKUP($F$3,Data!$A$33:$CN$78,Data!BN$32,FALSE)=1,VLOOKUP($F$3,Data!$A$33:$CN$78,Data!CE$32,FALSE),VLOOKUP($F$3,Data!$A$33:$CN$78,Data!CJ$32,FALSE)),IF(VLOOKUP($F$3,Data!$A$33:$CN$78,Data!BN$32,FALSE)=1,VLOOKUP($F$3,Data!$A$33:$CN$78,Data!$K$32,FALSE),VLOOKUP($F$3,Data!$A$33:$CN$78,Data!$N$32,FALSE)))</f>
        <v>0.10590000000000001</v>
      </c>
      <c r="H20" s="263"/>
      <c r="I20" s="263">
        <f>IF($W$12="Tier",IF(VLOOKUP($F$3,Data!$A$33:$CN$78,Data!BN$32,FALSE) = 1,VLOOKUP($F$3,Data!$A$33:$CN$78,Data!CF$32,FALSE),VLOOKUP($F$3,Data!$A$33:$CN$78,Data!CK$32,FALSE)),IF(VLOOKUP($F$3,Data!$A$33:$CN$78,Data!BN$32,FALSE) = 1,VLOOKUP($F$3,Data!$A$33:$CN$78,Data!$L$32,FALSE),VLOOKUP($F$3,Data!$A$33:$CN$78,Data!$O$32,FALSE)))</f>
        <v>0</v>
      </c>
      <c r="J20" s="263"/>
      <c r="K20" s="263">
        <f>IF($W$12="Tier",IF(VLOOKUP($F$3,Data!$A$33:$CN$78,Data!BN$32,FALSE) = 1,VLOOKUP($F$3,Data!$A$33:$CN$78,Data!CG$32,FALSE),VLOOKUP($F$3,Data!$A$33:$CN$78,Data!CL$32,FALSE)),IF(VLOOKUP($F$3,Data!$A$33:$CN$78,Data!BN$32,FALSE) = 1,VLOOKUP($F$3,Data!$A$33:$CN$78,Data!$M$32,FALSE),VLOOKUP($F$3,Data!$A$33:$CN$78,Data!$P$32,FALSE)))</f>
        <v>8.4400000000000003E-2</v>
      </c>
      <c r="L20" s="263"/>
      <c r="M20" s="266"/>
      <c r="N20" s="266"/>
      <c r="O20" s="6"/>
      <c r="P20" s="6"/>
      <c r="Q20" s="56" t="str">
        <f>IF($W12="Subscription","Subscription Rate ($/kW)","Demand Rate ($/kW)")</f>
        <v>Demand Rate ($/kW)</v>
      </c>
      <c r="R20" s="56"/>
      <c r="S20" s="56"/>
      <c r="T20" s="263" t="str">
        <f>IF(ISNUMBER(FIND("SDG&amp;E AL-TOU2",$F$3)),19.7,"")</f>
        <v/>
      </c>
      <c r="U20" s="263"/>
      <c r="V20" s="263">
        <f>IF(VLOOKUP($F$3,Data!$A$33:$CN$78,Data!BN$32,FALSE) = 1,VLOOKUP($F$3,Data!$A$33:$CN$78,Data!$C$32,FALSE),VLOOKUP($F$3,Data!$A$33:$CN$78,Data!$G$32,FALSE))</f>
        <v>3.8</v>
      </c>
      <c r="W20" s="263"/>
      <c r="X20" s="263">
        <f>IF(VLOOKUP($F$3,Data!$A$33:$CN$78,Data!BN$32,FALSE) = 1,VLOOKUP($F$3,Data!$A$33:$CN$78,Data!$D$32,FALSE),VLOOKUP($F$3,Data!$A$33:$CN$78,Data!$H$32,FALSE))</f>
        <v>0</v>
      </c>
      <c r="Y20" s="263"/>
      <c r="Z20" s="263">
        <f>IF(VLOOKUP($F$3,Data!$A$33:$CN$78,Data!BN$32,FALSE) = 1,VLOOKUP($F$3,Data!$A$33:$CN$78,Data!$E$32,FALSE),VLOOKUP($F$3,Data!$A$33:$CN$78,Data!$I$32,FALSE))</f>
        <v>0</v>
      </c>
      <c r="AA20" s="263"/>
      <c r="AB20" s="263">
        <f>IF(VLOOKUP($F$3,Data!$A$33:$CN$78,Data!BN$32,FALSE) = 1,VLOOKUP($F$3,Data!$A$33:$CN$78,Data!$F$32,FALSE),VLOOKUP($F$3,Data!$A$33:$CN$78,Data!$J$32,FALSE))</f>
        <v>0</v>
      </c>
      <c r="AC20" s="263"/>
      <c r="AD20" s="56"/>
      <c r="AE20" s="56"/>
      <c r="AF20" s="189"/>
    </row>
    <row r="21" spans="2:39" ht="15.75" hidden="1" outlineLevel="1" x14ac:dyDescent="0.25">
      <c r="B21" s="187"/>
      <c r="C21" s="92" t="s">
        <v>102</v>
      </c>
      <c r="D21" s="76"/>
      <c r="E21" s="76"/>
      <c r="F21" s="76"/>
      <c r="G21" s="269">
        <f>+G19*G20</f>
        <v>0</v>
      </c>
      <c r="H21" s="269"/>
      <c r="I21" s="269">
        <f>+I19*I20</f>
        <v>0</v>
      </c>
      <c r="J21" s="269"/>
      <c r="K21" s="269">
        <f>+K19*K20</f>
        <v>5581.6533333333327</v>
      </c>
      <c r="L21" s="269"/>
      <c r="M21" s="269">
        <f>SUM(G21:L21)</f>
        <v>5581.6533333333327</v>
      </c>
      <c r="N21" s="269"/>
      <c r="O21" s="6"/>
      <c r="P21" s="6"/>
      <c r="Q21" s="6" t="str">
        <f>IF($W12="Subscription","Subscription Fee","Demand Charge")</f>
        <v>Demand Charge</v>
      </c>
      <c r="R21" s="72"/>
      <c r="S21" s="72"/>
      <c r="T21" s="287" t="str">
        <f>IF(ISNUMBER(FIND("SDG&amp;E AL-TOU2",$F$3)),$T19*$T20,"")</f>
        <v/>
      </c>
      <c r="U21" s="287"/>
      <c r="V21" s="293">
        <f>+$V19*$V20</f>
        <v>1155.2</v>
      </c>
      <c r="W21" s="293"/>
      <c r="X21" s="293">
        <f>+$X19*$X20</f>
        <v>0</v>
      </c>
      <c r="Y21" s="293"/>
      <c r="Z21" s="293">
        <f>+$Z19*$Z20</f>
        <v>0</v>
      </c>
      <c r="AA21" s="293"/>
      <c r="AB21" s="293">
        <f>+$AB19*$AB20</f>
        <v>0</v>
      </c>
      <c r="AC21" s="293"/>
      <c r="AD21" s="293">
        <f>SUM(T21:AC21)</f>
        <v>1155.2</v>
      </c>
      <c r="AE21" s="293"/>
      <c r="AF21" s="189"/>
    </row>
    <row r="22" spans="2:39" ht="15.75" hidden="1" outlineLevel="1" x14ac:dyDescent="0.25">
      <c r="B22" s="190"/>
      <c r="C22" s="174"/>
      <c r="D22" s="175"/>
      <c r="E22" s="175"/>
      <c r="F22" s="175"/>
      <c r="G22" s="176"/>
      <c r="H22" s="176"/>
      <c r="I22" s="176"/>
      <c r="J22" s="176"/>
      <c r="K22" s="176"/>
      <c r="L22" s="176"/>
      <c r="M22" s="176"/>
      <c r="N22" s="176"/>
      <c r="O22" s="177"/>
      <c r="P22" s="177"/>
      <c r="Q22" s="177"/>
      <c r="R22" s="177"/>
      <c r="S22" s="177"/>
      <c r="T22" s="177"/>
      <c r="U22" s="177"/>
      <c r="V22" s="178"/>
      <c r="W22" s="178"/>
      <c r="X22" s="178"/>
      <c r="Y22" s="178"/>
      <c r="Z22" s="178"/>
      <c r="AA22" s="178"/>
      <c r="AB22" s="178"/>
      <c r="AC22" s="178"/>
      <c r="AD22" s="178"/>
      <c r="AE22" s="178"/>
      <c r="AF22" s="191"/>
    </row>
    <row r="23" spans="2:39" ht="15.75" collapsed="1" x14ac:dyDescent="0.25">
      <c r="B23" s="192" t="s">
        <v>176</v>
      </c>
      <c r="C23" s="6"/>
      <c r="D23" s="6"/>
      <c r="E23" s="165" t="s">
        <v>172</v>
      </c>
      <c r="F23" s="167">
        <v>100</v>
      </c>
      <c r="G23" s="169" t="s">
        <v>173</v>
      </c>
      <c r="H23" s="6"/>
      <c r="I23" s="165" t="s">
        <v>222</v>
      </c>
      <c r="J23" s="294" t="s">
        <v>367</v>
      </c>
      <c r="K23" s="294"/>
      <c r="L23" s="294"/>
      <c r="M23" s="6"/>
      <c r="N23" s="165" t="s">
        <v>205</v>
      </c>
      <c r="O23" s="170">
        <v>0.8</v>
      </c>
      <c r="P23" s="168" t="s">
        <v>206</v>
      </c>
      <c r="Q23" s="6"/>
      <c r="R23" s="76"/>
      <c r="S23" s="72"/>
      <c r="T23" s="72"/>
      <c r="U23" s="72"/>
      <c r="V23" s="171" t="str">
        <f>+"February Monthly Bill (with taxes/fees) = "</f>
        <v xml:space="preserve">February Monthly Bill (with taxes/fees) = </v>
      </c>
      <c r="W23" s="172">
        <f>(AD33+M33+VLOOKUP($F$3,Data!$A$33:$CA$78,2))*(1+$F$8)</f>
        <v>5518.2307222222225</v>
      </c>
      <c r="X23" s="72"/>
      <c r="Y23" s="68"/>
      <c r="Z23" s="223"/>
      <c r="AA23" s="239"/>
      <c r="AB23" s="239" t="str">
        <f>"Cost = $"&amp;FIXED(W23/M31,2) &amp; "/kWh"</f>
        <v>Cost = $0.11/kWh</v>
      </c>
      <c r="AC23" s="222" t="s">
        <v>344</v>
      </c>
      <c r="AD23" s="173" t="str">
        <f>"$"&amp; FIXED(W23*O23/M31,2)&amp;"/mi."</f>
        <v>$0.09/mi.</v>
      </c>
      <c r="AE23" s="72"/>
      <c r="AF23" s="189"/>
      <c r="AH23" s="88"/>
      <c r="AI23" s="23"/>
      <c r="AK23" s="102"/>
      <c r="AL23" s="23"/>
    </row>
    <row r="24" spans="2:39" s="138" customFormat="1" hidden="1" outlineLevel="1" x14ac:dyDescent="0.2">
      <c r="B24" s="186" t="s">
        <v>122</v>
      </c>
      <c r="C24" s="240">
        <f>ROUND(2*$E24/$G24,1)/2</f>
        <v>0.6</v>
      </c>
      <c r="D24" s="156" t="s">
        <v>120</v>
      </c>
      <c r="E24" s="245">
        <f>+$O23*$F23*$M24/($F$7*$Q24)</f>
        <v>4.6783625730994149</v>
      </c>
      <c r="F24" s="156" t="s">
        <v>119</v>
      </c>
      <c r="G24" s="246">
        <f>+VLOOKUP($J23,Data!$Q$9:$BQ$17,Data!$BP$8,FALSE)</f>
        <v>8</v>
      </c>
      <c r="H24" s="143" t="s">
        <v>116</v>
      </c>
      <c r="I24" s="155">
        <f>IF(VLOOKUP($F$4,Data!$G$9:$L$16,Data!$L$8,FALSE)&lt;1,VLOOKUP($F$4,Data!$G$9:$L$16,Data!$L$8,FALSE),1)</f>
        <v>1</v>
      </c>
      <c r="J24" s="143" t="s">
        <v>117</v>
      </c>
      <c r="K24" s="240">
        <f>IF(VLOOKUP($F$4,Data!$G$9:$L$16,Data!$L$8,FALSE)="software",IF($C24&gt;0.75,1,$C24+0.1),1)</f>
        <v>0.7</v>
      </c>
      <c r="L24" s="143" t="s">
        <v>109</v>
      </c>
      <c r="M24" s="246">
        <f>+VLOOKUP($F$4,Data!$G$9:$L$16,Data!$I$8)</f>
        <v>1</v>
      </c>
      <c r="N24" s="143" t="s">
        <v>108</v>
      </c>
      <c r="O24" s="247">
        <f>INT($F$6/$M24)+IF(($F$6/$M24-INT($F$6/$M24))&gt;0,1,0)</f>
        <v>20</v>
      </c>
      <c r="P24" s="143" t="s">
        <v>121</v>
      </c>
      <c r="Q24" s="143">
        <f>VLOOKUP($F$5,Data!$A$9:$C$19,Data!$B$8,FALSE)</f>
        <v>19</v>
      </c>
      <c r="R24" s="144" t="s">
        <v>25</v>
      </c>
      <c r="S24" s="247">
        <f>VLOOKUP($F$3,Data!$A$33:$CN$78,Data!$CB$32,FALSE)</f>
        <v>300</v>
      </c>
      <c r="T24" s="144" t="s">
        <v>26</v>
      </c>
      <c r="U24" s="247">
        <f>IF(VLOOKUP($F$3,Data!$A$33:$CN$78,Data!$CC$32)="N/A",10000000,VLOOKUP($F$3,Data!$A$33:$CN$78,Data!$CC$32,FALSE))</f>
        <v>500</v>
      </c>
      <c r="V24" s="144" t="s">
        <v>40</v>
      </c>
      <c r="W24" s="158" t="str">
        <f>VLOOKUP($F$3,Data!$A$33:$CN$78,Data!CD$32,FALSE)</f>
        <v>TOU</v>
      </c>
      <c r="X24" s="157" t="s">
        <v>144</v>
      </c>
      <c r="Y24" s="248">
        <f>VLOOKUP($F$3,Data!$A$33:$CN$78,Data!$BZ$32)</f>
        <v>3</v>
      </c>
      <c r="Z24" s="144"/>
      <c r="AA24" s="144"/>
      <c r="AB24" s="144"/>
      <c r="AC24" s="144"/>
      <c r="AD24" s="144"/>
      <c r="AE24" s="144"/>
      <c r="AF24" s="255"/>
      <c r="AG24" s="140"/>
      <c r="AH24" s="140"/>
      <c r="AI24" s="137"/>
      <c r="AK24" s="139"/>
      <c r="AL24" s="141"/>
      <c r="AM24" s="141"/>
    </row>
    <row r="25" spans="2:39" ht="15.75" hidden="1" outlineLevel="1" x14ac:dyDescent="0.25">
      <c r="B25" s="187"/>
      <c r="C25" s="130" t="s">
        <v>222</v>
      </c>
      <c r="D25" s="65"/>
      <c r="E25" s="65"/>
      <c r="F25" s="6"/>
      <c r="G25" s="6"/>
      <c r="H25" s="66" t="s">
        <v>74</v>
      </c>
      <c r="I25" s="66" t="s">
        <v>75</v>
      </c>
      <c r="J25" s="66" t="s">
        <v>76</v>
      </c>
      <c r="K25" s="66" t="s">
        <v>77</v>
      </c>
      <c r="L25" s="66" t="s">
        <v>78</v>
      </c>
      <c r="M25" s="66" t="s">
        <v>79</v>
      </c>
      <c r="N25" s="66" t="s">
        <v>80</v>
      </c>
      <c r="O25" s="66" t="s">
        <v>81</v>
      </c>
      <c r="P25" s="66" t="s">
        <v>82</v>
      </c>
      <c r="Q25" s="66" t="s">
        <v>83</v>
      </c>
      <c r="R25" s="66" t="s">
        <v>84</v>
      </c>
      <c r="S25" s="66" t="s">
        <v>85</v>
      </c>
      <c r="T25" s="66" t="s">
        <v>86</v>
      </c>
      <c r="U25" s="66" t="s">
        <v>87</v>
      </c>
      <c r="V25" s="66" t="s">
        <v>88</v>
      </c>
      <c r="W25" s="66" t="s">
        <v>89</v>
      </c>
      <c r="X25" s="66" t="s">
        <v>90</v>
      </c>
      <c r="Y25" s="66" t="s">
        <v>91</v>
      </c>
      <c r="Z25" s="66" t="s">
        <v>92</v>
      </c>
      <c r="AA25" s="66" t="s">
        <v>93</v>
      </c>
      <c r="AB25" s="66" t="s">
        <v>94</v>
      </c>
      <c r="AC25" s="66" t="s">
        <v>95</v>
      </c>
      <c r="AD25" s="66" t="s">
        <v>96</v>
      </c>
      <c r="AE25" s="66" t="s">
        <v>97</v>
      </c>
      <c r="AF25" s="188"/>
      <c r="AI25" s="23"/>
      <c r="AJ25" s="23"/>
      <c r="AK25" s="102"/>
    </row>
    <row r="26" spans="2:39" ht="15.75" hidden="1" outlineLevel="1" x14ac:dyDescent="0.25">
      <c r="B26" s="187"/>
      <c r="C26" s="295" t="str">
        <f>J23</f>
        <v>Late Evening (10p-6a)</v>
      </c>
      <c r="D26" s="296"/>
      <c r="E26" s="296"/>
      <c r="F26" s="296"/>
      <c r="G26" s="297"/>
      <c r="H26" s="151">
        <f>$I24*$K24*VLOOKUP($C26,Data!$Q$9:$BO$17,Data!T$8,FALSE)</f>
        <v>0</v>
      </c>
      <c r="I26" s="151">
        <f>$I24*$K24*VLOOKUP($C26,Data!$Q$9:$BO$17,Data!U$8,FALSE)</f>
        <v>0</v>
      </c>
      <c r="J26" s="151">
        <f>$I24*$K24*VLOOKUP($C26,Data!$Q$9:$BO$17,Data!V$8,FALSE)</f>
        <v>0</v>
      </c>
      <c r="K26" s="151">
        <f>$I24*$K24*VLOOKUP($C26,Data!$Q$9:$BO$17,Data!W$8,FALSE)</f>
        <v>0</v>
      </c>
      <c r="L26" s="151">
        <f>$I24*$K24*VLOOKUP($C26,Data!$Q$9:$BO$17,Data!X$8,FALSE)</f>
        <v>0</v>
      </c>
      <c r="M26" s="151">
        <f>$I24*$K24*VLOOKUP($C26,Data!$Q$9:$BO$17,Data!Y$8,FALSE)</f>
        <v>0</v>
      </c>
      <c r="N26" s="151">
        <f>$I24*$K24*VLOOKUP($C26,Data!$Q$9:$BO$17,Data!Z$8,FALSE)</f>
        <v>0</v>
      </c>
      <c r="O26" s="151">
        <f>$I24*$K24*VLOOKUP($C26,Data!$Q$9:$BO$17,Data!AA$8,FALSE)</f>
        <v>0</v>
      </c>
      <c r="P26" s="151">
        <f>$I24*$K24*VLOOKUP($C26,Data!$Q$9:$BO$17,Data!AB$8,FALSE)</f>
        <v>0</v>
      </c>
      <c r="Q26" s="151">
        <f>$I24*$K24*VLOOKUP($C26,Data!$Q$9:$BO$17,Data!AC$8,FALSE)</f>
        <v>0</v>
      </c>
      <c r="R26" s="151">
        <f>$I24*$K24*VLOOKUP($C26,Data!$Q$9:$BO$17,Data!AD$8,FALSE)</f>
        <v>0.7</v>
      </c>
      <c r="S26" s="151">
        <f>$I24*$K24*VLOOKUP($C26,Data!$Q$9:$BO$17,Data!AE$8,FALSE)</f>
        <v>0.7</v>
      </c>
      <c r="T26" s="151">
        <f>$I24*$K24*VLOOKUP($C26,Data!$Q$9:$BO$17,Data!AF$8,FALSE)</f>
        <v>0.7</v>
      </c>
      <c r="U26" s="151">
        <f>$I24*$K24*VLOOKUP($C26,Data!$Q$9:$BO$17,Data!AG$8,FALSE)</f>
        <v>0.7</v>
      </c>
      <c r="V26" s="151">
        <f>$I24*$K24*VLOOKUP($C26,Data!$Q$9:$BO$17,Data!AH$8,FALSE)</f>
        <v>0.7</v>
      </c>
      <c r="W26" s="151">
        <f>$I24*$K24*VLOOKUP($C26,Data!$Q$9:$BO$17,Data!AI$8,FALSE)</f>
        <v>0.7</v>
      </c>
      <c r="X26" s="151">
        <f>$I24*$K24*VLOOKUP($C26,Data!$Q$9:$BO$17,Data!AJ$8,FALSE)</f>
        <v>0.7</v>
      </c>
      <c r="Y26" s="151">
        <f>$I24*$K24*VLOOKUP($C26,Data!$Q$9:$BO$17,Data!AK$8,FALSE)</f>
        <v>0.7</v>
      </c>
      <c r="Z26" s="151">
        <f>$I24*$K24*VLOOKUP($C26,Data!$Q$9:$BO$17,Data!AL$8,FALSE)</f>
        <v>0</v>
      </c>
      <c r="AA26" s="151">
        <f>$I24*$K24*VLOOKUP($C26,Data!$Q$9:$BO$17,Data!AM$8,FALSE)</f>
        <v>0</v>
      </c>
      <c r="AB26" s="151">
        <f>$I24*$K24*VLOOKUP($C26,Data!$Q$9:$BO$17,Data!AN$8,FALSE)</f>
        <v>0</v>
      </c>
      <c r="AC26" s="151">
        <f>$I24*$K24*VLOOKUP($C26,Data!$Q$9:$BO$17,Data!AO$8,FALSE)</f>
        <v>0</v>
      </c>
      <c r="AD26" s="151">
        <f>$I24*$K24*VLOOKUP($C26,Data!$Q$9:$BO$17,Data!AP$8,FALSE)</f>
        <v>0</v>
      </c>
      <c r="AE26" s="151">
        <f>$I24*$K24*VLOOKUP($C26,Data!$Q$9:$BO$17,Data!AQ$8,FALSE)</f>
        <v>0</v>
      </c>
      <c r="AF26" s="189"/>
      <c r="AI26" s="68"/>
    </row>
    <row r="27" spans="2:39" ht="15.75" hidden="1" outlineLevel="1" x14ac:dyDescent="0.25">
      <c r="B27" s="187"/>
      <c r="C27" s="126" t="s">
        <v>177</v>
      </c>
      <c r="D27" s="6"/>
      <c r="E27" s="6"/>
      <c r="F27" s="6"/>
      <c r="G27" s="6"/>
      <c r="H27" s="133" t="str">
        <f>IF(VLOOKUP($F$3,Data!$A$33:$BY$78,Data!$BO$32,FALSE)=1,VLOOKUP($F$3,Data!$A$33:$BM$78,Data!R$32,FALSE),VLOOKUP($F$3,Data!$A$33:$BM$78,Data!AP$32,FALSE))</f>
        <v>m</v>
      </c>
      <c r="I27" s="133" t="str">
        <f>IF(VLOOKUP($F$3,Data!$A$33:$BY$78,Data!$BO$32,FALSE)=1,VLOOKUP($F$3,Data!$A$33:$BM$78,Data!S$32,FALSE),VLOOKUP($F$3,Data!$A$33:$BM$78,Data!AQ$32,FALSE))</f>
        <v>m</v>
      </c>
      <c r="J27" s="133" t="str">
        <f>IF(VLOOKUP($F$3,Data!$A$33:$BY$78,Data!$BO$32,FALSE)=1,VLOOKUP($F$3,Data!$A$33:$BM$78,Data!T$32,FALSE),VLOOKUP($F$3,Data!$A$33:$BM$78,Data!AR$32,FALSE))</f>
        <v>m</v>
      </c>
      <c r="K27" s="133" t="str">
        <f>IF(VLOOKUP($F$3,Data!$A$33:$BY$78,Data!$BO$32,FALSE)=1,VLOOKUP($F$3,Data!$A$33:$BM$78,Data!U$32,FALSE),VLOOKUP($F$3,Data!$A$33:$BM$78,Data!AS$32,FALSE))</f>
        <v>m</v>
      </c>
      <c r="L27" s="133" t="str">
        <f>IF(VLOOKUP($F$3,Data!$A$33:$BY$78,Data!$BO$32,FALSE)=1,VLOOKUP($F$3,Data!$A$33:$BM$78,Data!V$32,FALSE),VLOOKUP($F$3,Data!$A$33:$BM$78,Data!AT$32,FALSE))</f>
        <v>m</v>
      </c>
      <c r="M27" s="133" t="str">
        <f>IF(VLOOKUP($F$3,Data!$A$33:$BY$78,Data!$BO$32,FALSE)=1,VLOOKUP($F$3,Data!$A$33:$BM$78,Data!W$32,FALSE),VLOOKUP($F$3,Data!$A$33:$BM$78,Data!AU$32,FALSE))</f>
        <v>m</v>
      </c>
      <c r="N27" s="133" t="str">
        <f>IF(VLOOKUP($F$3,Data!$A$33:$BY$78,Data!$BO$32,FALSE)=1,VLOOKUP($F$3,Data!$A$33:$BM$78,Data!X$32,FALSE),VLOOKUP($F$3,Data!$A$33:$BM$78,Data!AV$32,FALSE))</f>
        <v>m</v>
      </c>
      <c r="O27" s="133" t="str">
        <f>IF(VLOOKUP($F$3,Data!$A$33:$BY$78,Data!$BO$32,FALSE)=1,VLOOKUP($F$3,Data!$A$33:$BM$78,Data!Y$32,FALSE),VLOOKUP($F$3,Data!$A$33:$BM$78,Data!AW$32,FALSE))</f>
        <v>m</v>
      </c>
      <c r="P27" s="133" t="str">
        <f>IF(VLOOKUP($F$3,Data!$A$33:$BY$78,Data!$BO$32,FALSE)=1,VLOOKUP($F$3,Data!$A$33:$BM$78,Data!Z$32,FALSE),VLOOKUP($F$3,Data!$A$33:$BM$78,Data!AX$32,FALSE))</f>
        <v>m</v>
      </c>
      <c r="Q27" s="133" t="str">
        <f>IF(VLOOKUP($F$3,Data!$A$33:$BY$78,Data!$BO$32,FALSE)=1,VLOOKUP($F$3,Data!$A$33:$BM$78,Data!AA$32,FALSE),VLOOKUP($F$3,Data!$A$33:$BM$78,Data!AY$32,FALSE))</f>
        <v>m</v>
      </c>
      <c r="R27" s="133" t="str">
        <f>IF(VLOOKUP($F$3,Data!$A$33:$BY$78,Data!$BO$32,FALSE)=1,VLOOKUP($F$3,Data!$A$33:$BM$78,Data!AB$32,FALSE),VLOOKUP($F$3,Data!$A$33:$BM$78,Data!AZ$32,FALSE))</f>
        <v>o</v>
      </c>
      <c r="S27" s="133" t="str">
        <f>IF(VLOOKUP($F$3,Data!$A$33:$BY$78,Data!$BO$32,FALSE)=1,VLOOKUP($F$3,Data!$A$33:$BM$78,Data!AC$32,FALSE),VLOOKUP($F$3,Data!$A$33:$BM$78,Data!BA$32,FALSE))</f>
        <v>o</v>
      </c>
      <c r="T27" s="133" t="str">
        <f>IF(VLOOKUP($F$3,Data!$A$33:$BY$78,Data!$BO$32,FALSE)=1,VLOOKUP($F$3,Data!$A$33:$BM$78,Data!AD$32,FALSE),VLOOKUP($F$3,Data!$A$33:$BM$78,Data!BB$32,FALSE))</f>
        <v>o</v>
      </c>
      <c r="U27" s="133" t="str">
        <f>IF(VLOOKUP($F$3,Data!$A$33:$BY$78,Data!$BO$32,FALSE)=1,VLOOKUP($F$3,Data!$A$33:$BM$78,Data!AE$32,FALSE),VLOOKUP($F$3,Data!$A$33:$BM$78,Data!BC$32,FALSE))</f>
        <v>o</v>
      </c>
      <c r="V27" s="133" t="str">
        <f>IF(VLOOKUP($F$3,Data!$A$33:$BY$78,Data!$BO$32,FALSE)=1,VLOOKUP($F$3,Data!$A$33:$BM$78,Data!AF$32,FALSE),VLOOKUP($F$3,Data!$A$33:$BM$78,Data!BD$32,FALSE))</f>
        <v>o</v>
      </c>
      <c r="W27" s="133" t="str">
        <f>IF(VLOOKUP($F$3,Data!$A$33:$BY$78,Data!$BO$32,FALSE)=1,VLOOKUP($F$3,Data!$A$33:$BM$78,Data!AG$32,FALSE),VLOOKUP($F$3,Data!$A$33:$BM$78,Data!BE$32,FALSE))</f>
        <v>o</v>
      </c>
      <c r="X27" s="133" t="str">
        <f>IF(VLOOKUP($F$3,Data!$A$33:$BY$78,Data!$BO$32,FALSE)=1,VLOOKUP($F$3,Data!$A$33:$BM$78,Data!AH$32,FALSE),VLOOKUP($F$3,Data!$A$33:$BM$78,Data!BF$32,FALSE))</f>
        <v>o</v>
      </c>
      <c r="Y27" s="133" t="str">
        <f>IF(VLOOKUP($F$3,Data!$A$33:$BY$78,Data!$BO$32,FALSE)=1,VLOOKUP($F$3,Data!$A$33:$BM$78,Data!AI$32,FALSE),VLOOKUP($F$3,Data!$A$33:$BM$78,Data!BG$32,FALSE))</f>
        <v>o</v>
      </c>
      <c r="Z27" s="133" t="str">
        <f>IF(VLOOKUP($F$3,Data!$A$33:$BY$78,Data!$BO$32,FALSE)=1,VLOOKUP($F$3,Data!$A$33:$BM$78,Data!AJ$32,FALSE),VLOOKUP($F$3,Data!$A$33:$BM$78,Data!BH$32,FALSE))</f>
        <v>o</v>
      </c>
      <c r="AA27" s="133" t="str">
        <f>IF(VLOOKUP($F$3,Data!$A$33:$BY$78,Data!$BO$32,FALSE)=1,VLOOKUP($F$3,Data!$A$33:$BM$78,Data!AK$32,FALSE),VLOOKUP($F$3,Data!$A$33:$BM$78,Data!BI$32,FALSE))</f>
        <v>o</v>
      </c>
      <c r="AB27" s="133" t="str">
        <f>IF(VLOOKUP($F$3,Data!$A$33:$BY$78,Data!$BO$32,FALSE)=1,VLOOKUP($F$3,Data!$A$33:$BM$78,Data!AL$32,FALSE),VLOOKUP($F$3,Data!$A$33:$BM$78,Data!BJ$32,FALSE))</f>
        <v>o</v>
      </c>
      <c r="AC27" s="133" t="str">
        <f>IF(VLOOKUP($F$3,Data!$A$33:$BY$78,Data!$BO$32,FALSE)=1,VLOOKUP($F$3,Data!$A$33:$BM$78,Data!AM$32,FALSE),VLOOKUP($F$3,Data!$A$33:$BM$78,Data!BK$32,FALSE))</f>
        <v>o</v>
      </c>
      <c r="AD27" s="133" t="str">
        <f>IF(VLOOKUP($F$3,Data!$A$33:$BY$78,Data!$BO$32,FALSE)=1,VLOOKUP($F$3,Data!$A$33:$BM$78,Data!AN$32,FALSE),VLOOKUP($F$3,Data!$A$33:$BM$78,Data!BL$32,FALSE))</f>
        <v>o</v>
      </c>
      <c r="AE27" s="133" t="str">
        <f>IF(VLOOKUP($F$3,Data!$A$33:$BY$78,Data!$BO$32,FALSE)=1,VLOOKUP($F$3,Data!$A$33:$BM$78,Data!AO$32,FALSE),VLOOKUP($F$3,Data!$A$33:$BM$78,Data!BM$32,FALSE))</f>
        <v>o</v>
      </c>
      <c r="AF27" s="189"/>
      <c r="AI27" s="23"/>
      <c r="AJ27" s="23"/>
      <c r="AK27" s="102"/>
    </row>
    <row r="28" spans="2:39" ht="15.75" hidden="1" outlineLevel="1" x14ac:dyDescent="0.25">
      <c r="B28" s="187"/>
      <c r="C28" s="126"/>
      <c r="D28" s="6"/>
      <c r="E28" s="6"/>
      <c r="F28" s="6"/>
      <c r="G28" s="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89"/>
      <c r="AI28" s="23"/>
      <c r="AJ28" s="23"/>
      <c r="AK28" s="102"/>
    </row>
    <row r="29" spans="2:39" ht="16.5" hidden="1" outlineLevel="1" thickBot="1" x14ac:dyDescent="0.3">
      <c r="B29" s="187"/>
      <c r="C29" s="73" t="s">
        <v>179</v>
      </c>
      <c r="D29" s="73"/>
      <c r="E29" s="73"/>
      <c r="F29" s="73"/>
      <c r="G29" s="259" t="str">
        <f>IF($W$12="Tier","Tier 1","On-Peak")</f>
        <v>On-Peak</v>
      </c>
      <c r="H29" s="259"/>
      <c r="I29" s="259" t="str">
        <f>IF($W$12="Tier","Tier 2","Mid-Peak")</f>
        <v>Mid-Peak</v>
      </c>
      <c r="J29" s="259"/>
      <c r="K29" s="259" t="str">
        <f>IF($W$12="Tier","Tier 3","Off-Peak")</f>
        <v>Off-Peak</v>
      </c>
      <c r="L29" s="259"/>
      <c r="M29" s="259" t="s">
        <v>12</v>
      </c>
      <c r="N29" s="259"/>
      <c r="O29" s="6"/>
      <c r="P29" s="6"/>
      <c r="Q29" s="243" t="str">
        <f>IF($W12="Subscription","February Subscription","February Demand")</f>
        <v>February Demand</v>
      </c>
      <c r="R29" s="243"/>
      <c r="S29" s="236"/>
      <c r="T29" s="259" t="str">
        <f>IF(ISNUMBER(FIND("SDG&amp;E AL-TOU2",$F$3)),"TOU Demand","")</f>
        <v/>
      </c>
      <c r="U29" s="259"/>
      <c r="V29" s="259" t="str">
        <f>IF($W24="Subscription","Subscription","Maximum")</f>
        <v>Maximum</v>
      </c>
      <c r="W29" s="259"/>
      <c r="X29" s="259" t="s">
        <v>60</v>
      </c>
      <c r="Y29" s="259"/>
      <c r="Z29" s="259" t="s">
        <v>61</v>
      </c>
      <c r="AA29" s="259"/>
      <c r="AB29" s="259" t="s">
        <v>55</v>
      </c>
      <c r="AC29" s="259"/>
      <c r="AD29" s="259" t="s">
        <v>12</v>
      </c>
      <c r="AE29" s="259"/>
      <c r="AF29" s="189"/>
    </row>
    <row r="30" spans="2:39" ht="15" hidden="1" customHeight="1" outlineLevel="1" x14ac:dyDescent="0.25">
      <c r="B30" s="187"/>
      <c r="C30" s="6" t="s">
        <v>103</v>
      </c>
      <c r="D30" s="6"/>
      <c r="E30" s="6"/>
      <c r="F30" s="6"/>
      <c r="G30" s="260">
        <f>SUMIF($H27:$AE27,"p",$H26:$AE26)/SUM($H26:$AE26)</f>
        <v>0</v>
      </c>
      <c r="H30" s="260"/>
      <c r="I30" s="260">
        <f>SUMIF($H27:$AE27,"m",$H26:$AE26)/SUM($H26:$AE26)</f>
        <v>0</v>
      </c>
      <c r="J30" s="260"/>
      <c r="K30" s="284">
        <f>SUMIF($H27:$AE27,"o",$H26:$AE26)/SUM($H26:$AE26)</f>
        <v>1</v>
      </c>
      <c r="L30" s="284"/>
      <c r="M30" s="6"/>
      <c r="N30" s="6"/>
      <c r="O30" s="6"/>
      <c r="P30" s="6"/>
      <c r="Q30" s="6" t="s">
        <v>104</v>
      </c>
      <c r="R30" s="6"/>
      <c r="S30" s="6"/>
      <c r="T30" s="291" t="str">
        <f>IF(ISNUMBER(FIND("SDG&amp;E AL-TOU2",$F$3)),MAX($X30:$AA30),"")</f>
        <v/>
      </c>
      <c r="U30" s="291"/>
      <c r="V30" s="260">
        <f>IF($W24="Subscription","",MAX($X30:$AC30))</f>
        <v>0.7</v>
      </c>
      <c r="W30" s="260"/>
      <c r="X30" s="284">
        <f t="array" ref="X30">MAX(IF($H27:$AE27="p",$H26:$AE26))</f>
        <v>0</v>
      </c>
      <c r="Y30" s="284"/>
      <c r="Z30" s="284">
        <f t="array" ref="Z30">MAX(IF($H27:$AE27="m",$H26:$AE26))</f>
        <v>0</v>
      </c>
      <c r="AA30" s="284"/>
      <c r="AB30" s="284">
        <f t="array" ref="AB30">MAX(IF($H27:$AE27="o",$H26:$AE26))</f>
        <v>0.7</v>
      </c>
      <c r="AC30" s="284"/>
      <c r="AD30" s="6"/>
      <c r="AE30" s="6"/>
      <c r="AF30" s="189"/>
    </row>
    <row r="31" spans="2:39" ht="15.75" hidden="1" outlineLevel="1" x14ac:dyDescent="0.25">
      <c r="B31" s="187"/>
      <c r="C31" s="6" t="s">
        <v>101</v>
      </c>
      <c r="D31" s="6"/>
      <c r="E31" s="6"/>
      <c r="F31" s="6"/>
      <c r="G31" s="265">
        <f>IF( $W$12="Tier",IF(OR(VLOOKUP($F$3,Data!$A$33:$CN$78,Data!CM$32,FALSE)&gt;$M31,VLOOKUP($F$3,Data!$A$33:$CN$78,Data!CM$32,FALSE)=0),$M31,VLOOKUP($F$3,Data!$A$33:$CN$78,Data!CM$32,FALSE)),$M31*$G30)</f>
        <v>0</v>
      </c>
      <c r="H31" s="265"/>
      <c r="I31" s="265">
        <f>IF(
 $W$12="Tier",
 IF(
  OR($M31&lt;VLOOKUP($F$3,Data!$A$33:$CN$78,Data!CM$32,FALSE),VLOOKUP($F$3,Data!$A$33:$CN$78,Data!CM$32,FALSE)=0),
  0,
   IF(
    OR($M31&gt;VLOOKUP($F$3,Data!$A$33:$CN$78,Data!CM$32,FALSE),VLOOKUP($F$3,Data!$A$33:$CN$78,Data!CN$32,FALSE)=0),
    $M31-VLOOKUP($F$3,Data!$A$33:$CN$78,Data!CM$32,FALSE),
    VLOOKUP($F$3,Data!$A$33:$CN$78,Data!CN$32,FALSE)-VLOOKUP($F$3,Data!$A$33:$CN$78,Data!CM$32,FALSE)
   )
 ),
 $M31*$I30)</f>
        <v>0</v>
      </c>
      <c r="J31" s="265"/>
      <c r="K31" s="265">
        <f>IF($W$12="Tier",M31-SUM(G31:J31),$M31*K30)</f>
        <v>50222.222222222219</v>
      </c>
      <c r="L31" s="265"/>
      <c r="M31" s="261">
        <f>+$O$23*$F$23*$F$6*28.25/$F$7</f>
        <v>50222.222222222219</v>
      </c>
      <c r="N31" s="261"/>
      <c r="O31" s="6"/>
      <c r="P31" s="6"/>
      <c r="Q31" s="6" t="s">
        <v>107</v>
      </c>
      <c r="R31" s="6"/>
      <c r="S31" s="6"/>
      <c r="T31" s="262" t="str">
        <f>IF(ISNUMBER(FIND("SDG&amp;E AL-TOU2",$F$3)),ROUND(MAX($X31:$AA31),0),"")</f>
        <v/>
      </c>
      <c r="U31" s="262"/>
      <c r="V31" s="261">
        <f>IF($W24="Subscription",$F$9,ROUND(MAX($X31:$AC31),0))</f>
        <v>266</v>
      </c>
      <c r="W31" s="262"/>
      <c r="X31" s="265">
        <f>VLOOKUP($F$5,Data!$A$9:$C$21,Data!$B$8,FALSE)*$O24*$X30</f>
        <v>0</v>
      </c>
      <c r="Y31" s="265"/>
      <c r="Z31" s="265">
        <f>VLOOKUP($F$5,Data!$A$9:$C$21,Data!$B$8,FALSE)*$O24*$Z30</f>
        <v>0</v>
      </c>
      <c r="AA31" s="265"/>
      <c r="AB31" s="265">
        <f>VLOOKUP($F$5,Data!$A$9:$C$21,Data!$B$8,FALSE)*$O24*$AB30</f>
        <v>266</v>
      </c>
      <c r="AC31" s="265"/>
      <c r="AD31" s="261"/>
      <c r="AE31" s="261"/>
      <c r="AF31" s="189"/>
    </row>
    <row r="32" spans="2:39" ht="16.5" hidden="1" outlineLevel="1" thickBot="1" x14ac:dyDescent="0.3">
      <c r="B32" s="187"/>
      <c r="C32" s="56" t="s">
        <v>100</v>
      </c>
      <c r="D32" s="56"/>
      <c r="E32" s="56"/>
      <c r="F32" s="56"/>
      <c r="G32" s="263">
        <f>IF($W$12="Tier",IF(VLOOKUP($F$3,Data!$A$33:$CN$78,Data!BO$32,FALSE)=1,VLOOKUP($F$3,Data!$A$33:$CN$78,Data!CE$32,FALSE),VLOOKUP($F$3,Data!$A$33:$CN$78,Data!CJ$32,FALSE)),IF(VLOOKUP($F$3,Data!$A$33:$CN$78,Data!BO$32,FALSE)=1,VLOOKUP($F$3,Data!$A$33:$CN$78,Data!$K$32,FALSE),VLOOKUP($F$3,Data!$A$33:$CN$78,Data!$N$32,FALSE)))</f>
        <v>0.10590000000000001</v>
      </c>
      <c r="H32" s="263"/>
      <c r="I32" s="263">
        <f>IF($W$12="Tier",IF(VLOOKUP($F$3,Data!$A$33:$CN$78,Data!BO$32,FALSE) = 1,VLOOKUP($F$3,Data!$A$33:$CN$78,Data!CF$32,FALSE),VLOOKUP($F$3,Data!$A$33:$CN$78,Data!CK$32,FALSE)),IF(VLOOKUP($F$3,Data!$A$33:$CN$78,Data!BO$32,FALSE) = 1,VLOOKUP($F$3,Data!$A$33:$CN$78,Data!$L$32,FALSE),VLOOKUP($F$3,Data!$A$33:$CN$78,Data!$O$32,FALSE)))</f>
        <v>0</v>
      </c>
      <c r="J32" s="263"/>
      <c r="K32" s="263">
        <f>IF($W$12="Tier",IF(VLOOKUP($F$3,Data!$A$33:$CN$78,Data!BO$32,FALSE) = 1,VLOOKUP($F$3,Data!$A$33:$CN$78,Data!CG$32,FALSE),VLOOKUP($F$3,Data!$A$33:$CN$78,Data!CL$32,FALSE)),IF(VLOOKUP($F$3,Data!$A$33:$CN$78,Data!BO$32,FALSE) = 1,VLOOKUP($F$3,Data!$A$33:$CN$78,Data!$M$32,FALSE),VLOOKUP($F$3,Data!$A$33:$CN$78,Data!$P$32,FALSE)))</f>
        <v>8.4400000000000003E-2</v>
      </c>
      <c r="L32" s="263"/>
      <c r="M32" s="266"/>
      <c r="N32" s="266"/>
      <c r="O32" s="6"/>
      <c r="P32" s="6"/>
      <c r="Q32" s="56" t="str">
        <f>IF($W24="Subscription","Subscription Rate ($/kW)","Demand Rate ($/kW)")</f>
        <v>Demand Rate ($/kW)</v>
      </c>
      <c r="R32" s="56"/>
      <c r="S32" s="56"/>
      <c r="T32" s="263" t="str">
        <f>IF(ISNUMBER(FIND("SDG&amp;E AL-TOU2",$F$3)),19.7,"")</f>
        <v/>
      </c>
      <c r="U32" s="263"/>
      <c r="V32" s="263">
        <f>IF(VLOOKUP($F$3,Data!$A$33:$CN$78,Data!BO$32,FALSE) = 1,VLOOKUP($F$3,Data!$A$33:$CN$78,Data!$C$32,FALSE),VLOOKUP($F$3,Data!$A$33:$CN$78,Data!$G$32,FALSE))</f>
        <v>3.8</v>
      </c>
      <c r="W32" s="263"/>
      <c r="X32" s="263">
        <f>IF(VLOOKUP($F$3,Data!$A$33:$CN$78,Data!BO$32,FALSE) = 1,VLOOKUP($F$3,Data!$A$33:$CN$78,Data!$D$32,FALSE),VLOOKUP($F$3,Data!$A$33:$CN$78,Data!$H$32,FALSE))</f>
        <v>0</v>
      </c>
      <c r="Y32" s="263"/>
      <c r="Z32" s="263">
        <f>IF(VLOOKUP($F$3,Data!$A$33:$CN$78,Data!BO$32,FALSE) = 1,VLOOKUP($F$3,Data!$A$33:$CN$78,Data!$E$32,FALSE),VLOOKUP($F$3,Data!$A$33:$CN$78,Data!$I$32,FALSE))</f>
        <v>0</v>
      </c>
      <c r="AA32" s="263"/>
      <c r="AB32" s="263">
        <f>IF(VLOOKUP($F$3,Data!$A$33:$CN$78,Data!BO$32,FALSE) = 1,VLOOKUP($F$3,Data!$A$33:$CN$78,Data!$F$32,FALSE),VLOOKUP($F$3,Data!$A$33:$CN$78,Data!$J$32,FALSE))</f>
        <v>0</v>
      </c>
      <c r="AC32" s="263"/>
      <c r="AD32" s="56"/>
      <c r="AE32" s="56"/>
      <c r="AF32" s="189"/>
    </row>
    <row r="33" spans="2:39" ht="15.75" hidden="1" outlineLevel="1" x14ac:dyDescent="0.25">
      <c r="B33" s="187"/>
      <c r="C33" s="92" t="s">
        <v>102</v>
      </c>
      <c r="D33" s="76"/>
      <c r="E33" s="76"/>
      <c r="F33" s="76"/>
      <c r="G33" s="270">
        <f>+G31*G32</f>
        <v>0</v>
      </c>
      <c r="H33" s="270"/>
      <c r="I33" s="269">
        <f>+I31*I32</f>
        <v>0</v>
      </c>
      <c r="J33" s="269"/>
      <c r="K33" s="270">
        <f>+K31*K32</f>
        <v>4238.7555555555555</v>
      </c>
      <c r="L33" s="270"/>
      <c r="M33" s="270">
        <f>SUM(G33:L33)</f>
        <v>4238.7555555555555</v>
      </c>
      <c r="N33" s="270"/>
      <c r="O33" s="6"/>
      <c r="P33" s="6"/>
      <c r="Q33" s="6" t="str">
        <f>IF($W24="Subscription","Subscription Fee","Demand Charge")</f>
        <v>Demand Charge</v>
      </c>
      <c r="R33" s="72"/>
      <c r="S33" s="72"/>
      <c r="T33" s="287" t="str">
        <f>IF(ISNUMBER(FIND("SDG&amp;E AL-TOU2",$F$3)),$T31*$T32,"")</f>
        <v/>
      </c>
      <c r="U33" s="287"/>
      <c r="V33" s="293">
        <f>+V31*V32</f>
        <v>1010.8</v>
      </c>
      <c r="W33" s="293"/>
      <c r="X33" s="293">
        <f>+X31*X32</f>
        <v>0</v>
      </c>
      <c r="Y33" s="293"/>
      <c r="Z33" s="293">
        <f>+Z31*Z32</f>
        <v>0</v>
      </c>
      <c r="AA33" s="293"/>
      <c r="AB33" s="293">
        <f>+AB31*AB32</f>
        <v>0</v>
      </c>
      <c r="AC33" s="293"/>
      <c r="AD33" s="293">
        <f>SUM(T33:AC33)</f>
        <v>1010.8</v>
      </c>
      <c r="AE33" s="293"/>
      <c r="AF33" s="189"/>
    </row>
    <row r="34" spans="2:39" ht="15.75" hidden="1" outlineLevel="1" x14ac:dyDescent="0.25">
      <c r="B34" s="190"/>
      <c r="C34" s="174"/>
      <c r="D34" s="175"/>
      <c r="E34" s="175"/>
      <c r="F34" s="175"/>
      <c r="G34" s="176"/>
      <c r="H34" s="176"/>
      <c r="I34" s="176"/>
      <c r="J34" s="176"/>
      <c r="K34" s="176"/>
      <c r="L34" s="176"/>
      <c r="M34" s="176"/>
      <c r="N34" s="176"/>
      <c r="O34" s="177"/>
      <c r="P34" s="177"/>
      <c r="Q34" s="177"/>
      <c r="R34" s="177"/>
      <c r="S34" s="177"/>
      <c r="T34" s="177"/>
      <c r="U34" s="177"/>
      <c r="V34" s="178"/>
      <c r="W34" s="178"/>
      <c r="X34" s="178"/>
      <c r="Y34" s="178"/>
      <c r="Z34" s="178"/>
      <c r="AA34" s="178"/>
      <c r="AB34" s="178"/>
      <c r="AC34" s="178"/>
      <c r="AD34" s="178"/>
      <c r="AE34" s="178"/>
      <c r="AF34" s="191"/>
    </row>
    <row r="35" spans="2:39" ht="15.75" collapsed="1" x14ac:dyDescent="0.25">
      <c r="B35" s="192" t="s">
        <v>167</v>
      </c>
      <c r="C35" s="6"/>
      <c r="D35" s="6"/>
      <c r="E35" s="165" t="s">
        <v>172</v>
      </c>
      <c r="F35" s="167">
        <v>110</v>
      </c>
      <c r="G35" s="169" t="s">
        <v>173</v>
      </c>
      <c r="H35" s="6"/>
      <c r="I35" s="165" t="s">
        <v>222</v>
      </c>
      <c r="J35" s="294" t="s">
        <v>367</v>
      </c>
      <c r="K35" s="294"/>
      <c r="L35" s="294"/>
      <c r="M35" s="6"/>
      <c r="N35" s="165" t="s">
        <v>205</v>
      </c>
      <c r="O35" s="170">
        <v>0.8</v>
      </c>
      <c r="P35" s="168" t="s">
        <v>206</v>
      </c>
      <c r="Q35" s="6"/>
      <c r="R35" s="76"/>
      <c r="S35" s="72"/>
      <c r="T35" s="72"/>
      <c r="U35" s="72"/>
      <c r="V35" s="171" t="str">
        <f>+"March Monthly Bill (with taxes/fees) = "</f>
        <v xml:space="preserve">March Monthly Bill (with taxes/fees) = </v>
      </c>
      <c r="W35" s="172">
        <f>(AD45+M45+VLOOKUP($F$3,Data!$A$33:$CA$78,2))*(1+$F$8)</f>
        <v>6496.689522222222</v>
      </c>
      <c r="X35" s="72"/>
      <c r="Y35" s="68"/>
      <c r="Z35" s="223"/>
      <c r="AA35" s="239"/>
      <c r="AB35" s="239" t="str">
        <f>"Cost = $"&amp;FIXED(W35/M43,2) &amp; "/kWh"</f>
        <v>Cost = $0.11/kWh</v>
      </c>
      <c r="AC35" s="222" t="s">
        <v>344</v>
      </c>
      <c r="AD35" s="173" t="str">
        <f>"$"&amp; FIXED(W35*O35/M43,2)&amp;"/mi."</f>
        <v>$0.09/mi.</v>
      </c>
      <c r="AE35" s="72"/>
      <c r="AF35" s="189"/>
      <c r="AH35" s="88"/>
      <c r="AI35" s="23"/>
      <c r="AK35" s="102"/>
      <c r="AL35" s="23"/>
    </row>
    <row r="36" spans="2:39" s="138" customFormat="1" hidden="1" outlineLevel="1" x14ac:dyDescent="0.2">
      <c r="B36" s="186" t="s">
        <v>122</v>
      </c>
      <c r="C36" s="240">
        <f>ROUND(2*$E36/$G36,1)/2</f>
        <v>0.65</v>
      </c>
      <c r="D36" s="156" t="s">
        <v>120</v>
      </c>
      <c r="E36" s="245">
        <f>+$O35*$F35*$M36/($F$7*$Q36)</f>
        <v>5.1461988304093564</v>
      </c>
      <c r="F36" s="156" t="s">
        <v>119</v>
      </c>
      <c r="G36" s="246">
        <f>+VLOOKUP($J35,Data!$Q$9:$BQ$17,Data!$BP$8,FALSE)</f>
        <v>8</v>
      </c>
      <c r="H36" s="143" t="s">
        <v>116</v>
      </c>
      <c r="I36" s="155">
        <f>IF(VLOOKUP($F$4,Data!$G$9:$L$16,Data!$L$8,FALSE)&lt;1,VLOOKUP($F$4,Data!$G$9:$L$16,Data!$L$8,FALSE),1)</f>
        <v>1</v>
      </c>
      <c r="J36" s="143" t="s">
        <v>117</v>
      </c>
      <c r="K36" s="240">
        <f>IF(VLOOKUP($F$4,Data!$G$9:$L$16,Data!$L$8,FALSE)="software",IF($C36&gt;0.75,1,$C36+0.1),1)</f>
        <v>0.75</v>
      </c>
      <c r="L36" s="143" t="s">
        <v>109</v>
      </c>
      <c r="M36" s="246">
        <f>+VLOOKUP($F$4,Data!$G$9:$L$16,Data!$I$8)</f>
        <v>1</v>
      </c>
      <c r="N36" s="143" t="s">
        <v>108</v>
      </c>
      <c r="O36" s="247">
        <f>INT($F$6/$M36)+IF(($F$6/$M36-INT($F$6/$M36))&gt;0,1,0)</f>
        <v>20</v>
      </c>
      <c r="P36" s="143" t="s">
        <v>121</v>
      </c>
      <c r="Q36" s="143">
        <f>VLOOKUP($F$5,Data!$A$9:$C$19,Data!$B$8,FALSE)</f>
        <v>19</v>
      </c>
      <c r="R36" s="144" t="s">
        <v>25</v>
      </c>
      <c r="S36" s="247">
        <f>VLOOKUP($F$3,Data!$A$33:$CN$78,Data!$CB$32,FALSE)</f>
        <v>300</v>
      </c>
      <c r="T36" s="144" t="s">
        <v>26</v>
      </c>
      <c r="U36" s="247">
        <f>IF(VLOOKUP($F$3,Data!$A$33:$CN$78,Data!$CC$32)="N/A",10000000,VLOOKUP($F$3,Data!$A$33:$CN$78,Data!$CC$32,FALSE))</f>
        <v>500</v>
      </c>
      <c r="V36" s="144" t="s">
        <v>40</v>
      </c>
      <c r="W36" s="158" t="str">
        <f>VLOOKUP($F$3,Data!$A$33:$CN$78,Data!CD$32,FALSE)</f>
        <v>TOU</v>
      </c>
      <c r="X36" s="157" t="s">
        <v>144</v>
      </c>
      <c r="Y36" s="248">
        <f>VLOOKUP($F$3,Data!$A$33:$CN$78,Data!$BZ$32)</f>
        <v>3</v>
      </c>
      <c r="Z36" s="144"/>
      <c r="AA36" s="144"/>
      <c r="AB36" s="144"/>
      <c r="AC36" s="144"/>
      <c r="AD36" s="144"/>
      <c r="AE36" s="144"/>
      <c r="AF36" s="255"/>
      <c r="AG36" s="140"/>
      <c r="AH36" s="140"/>
      <c r="AI36" s="137"/>
      <c r="AK36" s="139"/>
      <c r="AL36" s="141"/>
      <c r="AM36" s="141"/>
    </row>
    <row r="37" spans="2:39" ht="15.75" hidden="1" outlineLevel="1" x14ac:dyDescent="0.25">
      <c r="B37" s="187"/>
      <c r="C37" s="130" t="s">
        <v>222</v>
      </c>
      <c r="D37" s="65"/>
      <c r="E37" s="65"/>
      <c r="F37" s="6"/>
      <c r="G37" s="6"/>
      <c r="H37" s="66" t="s">
        <v>74</v>
      </c>
      <c r="I37" s="66" t="s">
        <v>75</v>
      </c>
      <c r="J37" s="66" t="s">
        <v>76</v>
      </c>
      <c r="K37" s="66" t="s">
        <v>77</v>
      </c>
      <c r="L37" s="66" t="s">
        <v>78</v>
      </c>
      <c r="M37" s="66" t="s">
        <v>79</v>
      </c>
      <c r="N37" s="66" t="s">
        <v>80</v>
      </c>
      <c r="O37" s="66" t="s">
        <v>81</v>
      </c>
      <c r="P37" s="66" t="s">
        <v>82</v>
      </c>
      <c r="Q37" s="66" t="s">
        <v>83</v>
      </c>
      <c r="R37" s="66" t="s">
        <v>84</v>
      </c>
      <c r="S37" s="66" t="s">
        <v>85</v>
      </c>
      <c r="T37" s="66" t="s">
        <v>86</v>
      </c>
      <c r="U37" s="66" t="s">
        <v>87</v>
      </c>
      <c r="V37" s="66" t="s">
        <v>88</v>
      </c>
      <c r="W37" s="66" t="s">
        <v>89</v>
      </c>
      <c r="X37" s="66" t="s">
        <v>90</v>
      </c>
      <c r="Y37" s="66" t="s">
        <v>91</v>
      </c>
      <c r="Z37" s="66" t="s">
        <v>92</v>
      </c>
      <c r="AA37" s="66" t="s">
        <v>93</v>
      </c>
      <c r="AB37" s="66" t="s">
        <v>94</v>
      </c>
      <c r="AC37" s="66" t="s">
        <v>95</v>
      </c>
      <c r="AD37" s="66" t="s">
        <v>96</v>
      </c>
      <c r="AE37" s="66" t="s">
        <v>97</v>
      </c>
      <c r="AF37" s="188"/>
      <c r="AI37" s="23"/>
      <c r="AJ37" s="23"/>
      <c r="AK37" s="102"/>
    </row>
    <row r="38" spans="2:39" ht="15.75" hidden="1" outlineLevel="1" x14ac:dyDescent="0.25">
      <c r="B38" s="187"/>
      <c r="C38" s="295" t="str">
        <f>J35</f>
        <v>Late Evening (10p-6a)</v>
      </c>
      <c r="D38" s="296"/>
      <c r="E38" s="296"/>
      <c r="F38" s="296"/>
      <c r="G38" s="297"/>
      <c r="H38" s="151">
        <f>$I36*$K36*VLOOKUP($C38,Data!$Q$9:$BO$17,Data!T$8,FALSE)</f>
        <v>0</v>
      </c>
      <c r="I38" s="151">
        <f>$I36*$K36*VLOOKUP($C38,Data!$Q$9:$BO$17,Data!U$8,FALSE)</f>
        <v>0</v>
      </c>
      <c r="J38" s="151">
        <f>$I36*$K36*VLOOKUP($C38,Data!$Q$9:$BO$17,Data!V$8,FALSE)</f>
        <v>0</v>
      </c>
      <c r="K38" s="151">
        <f>$I36*$K36*VLOOKUP($C38,Data!$Q$9:$BO$17,Data!W$8,FALSE)</f>
        <v>0</v>
      </c>
      <c r="L38" s="151">
        <f>$I36*$K36*VLOOKUP($C38,Data!$Q$9:$BO$17,Data!X$8,FALSE)</f>
        <v>0</v>
      </c>
      <c r="M38" s="151">
        <f>$I36*$K36*VLOOKUP($C38,Data!$Q$9:$BO$17,Data!Y$8,FALSE)</f>
        <v>0</v>
      </c>
      <c r="N38" s="151">
        <f>$I36*$K36*VLOOKUP($C38,Data!$Q$9:$BO$17,Data!Z$8,FALSE)</f>
        <v>0</v>
      </c>
      <c r="O38" s="151">
        <f>$I36*$K36*VLOOKUP($C38,Data!$Q$9:$BO$17,Data!AA$8,FALSE)</f>
        <v>0</v>
      </c>
      <c r="P38" s="151">
        <f>$I36*$K36*VLOOKUP($C38,Data!$Q$9:$BO$17,Data!AB$8,FALSE)</f>
        <v>0</v>
      </c>
      <c r="Q38" s="151">
        <f>$I36*$K36*VLOOKUP($C38,Data!$Q$9:$BO$17,Data!AC$8,FALSE)</f>
        <v>0</v>
      </c>
      <c r="R38" s="151">
        <f>$I36*$K36*VLOOKUP($C38,Data!$Q$9:$BO$17,Data!AD$8,FALSE)</f>
        <v>0.75</v>
      </c>
      <c r="S38" s="151">
        <f>$I36*$K36*VLOOKUP($C38,Data!$Q$9:$BO$17,Data!AE$8,FALSE)</f>
        <v>0.75</v>
      </c>
      <c r="T38" s="151">
        <f>$I36*$K36*VLOOKUP($C38,Data!$Q$9:$BO$17,Data!AF$8,FALSE)</f>
        <v>0.75</v>
      </c>
      <c r="U38" s="151">
        <f>$I36*$K36*VLOOKUP($C38,Data!$Q$9:$BO$17,Data!AG$8,FALSE)</f>
        <v>0.75</v>
      </c>
      <c r="V38" s="151">
        <f>$I36*$K36*VLOOKUP($C38,Data!$Q$9:$BO$17,Data!AH$8,FALSE)</f>
        <v>0.75</v>
      </c>
      <c r="W38" s="151">
        <f>$I36*$K36*VLOOKUP($C38,Data!$Q$9:$BO$17,Data!AI$8,FALSE)</f>
        <v>0.75</v>
      </c>
      <c r="X38" s="151">
        <f>$I36*$K36*VLOOKUP($C38,Data!$Q$9:$BO$17,Data!AJ$8,FALSE)</f>
        <v>0.75</v>
      </c>
      <c r="Y38" s="151">
        <f>$I36*$K36*VLOOKUP($C38,Data!$Q$9:$BO$17,Data!AK$8,FALSE)</f>
        <v>0.75</v>
      </c>
      <c r="Z38" s="151">
        <f>$I36*$K36*VLOOKUP($C38,Data!$Q$9:$BO$17,Data!AL$8,FALSE)</f>
        <v>0</v>
      </c>
      <c r="AA38" s="151">
        <f>$I36*$K36*VLOOKUP($C38,Data!$Q$9:$BO$17,Data!AM$8,FALSE)</f>
        <v>0</v>
      </c>
      <c r="AB38" s="151">
        <f>$I36*$K36*VLOOKUP($C38,Data!$Q$9:$BO$17,Data!AN$8,FALSE)</f>
        <v>0</v>
      </c>
      <c r="AC38" s="151">
        <f>$I36*$K36*VLOOKUP($C38,Data!$Q$9:$BO$17,Data!AO$8,FALSE)</f>
        <v>0</v>
      </c>
      <c r="AD38" s="151">
        <f>$I36*$K36*VLOOKUP($C38,Data!$Q$9:$BO$17,Data!AP$8,FALSE)</f>
        <v>0</v>
      </c>
      <c r="AE38" s="151">
        <f>$I36*$K36*VLOOKUP($C38,Data!$Q$9:$BO$17,Data!AQ$8,FALSE)</f>
        <v>0</v>
      </c>
      <c r="AF38" s="189"/>
      <c r="AI38" s="68"/>
    </row>
    <row r="39" spans="2:39" ht="15.75" hidden="1" outlineLevel="1" x14ac:dyDescent="0.25">
      <c r="B39" s="187"/>
      <c r="C39" s="126" t="s">
        <v>178</v>
      </c>
      <c r="D39" s="6"/>
      <c r="E39" s="6"/>
      <c r="F39" s="6"/>
      <c r="G39" s="6"/>
      <c r="H39" s="133" t="str">
        <f>IF(VLOOKUP($F$3,Data!$A$33:$BY$78,Data!$BP$32,FALSE)=1,VLOOKUP($F$3,Data!$A$33:$BM$78,Data!R$32,FALSE),VLOOKUP($F$3,Data!$A$33:$BM$78,Data!AP$32,FALSE))</f>
        <v>m</v>
      </c>
      <c r="I39" s="133" t="str">
        <f>IF(VLOOKUP($F$3,Data!$A$33:$BY$78,Data!$BP$32,FALSE)=1,VLOOKUP($F$3,Data!$A$33:$BM$78,Data!S$32,FALSE),VLOOKUP($F$3,Data!$A$33:$BM$78,Data!AQ$32,FALSE))</f>
        <v>m</v>
      </c>
      <c r="J39" s="133" t="str">
        <f>IF(VLOOKUP($F$3,Data!$A$33:$BY$78,Data!$BP$32,FALSE)=1,VLOOKUP($F$3,Data!$A$33:$BM$78,Data!T$32,FALSE),VLOOKUP($F$3,Data!$A$33:$BM$78,Data!AR$32,FALSE))</f>
        <v>m</v>
      </c>
      <c r="K39" s="133" t="str">
        <f>IF(VLOOKUP($F$3,Data!$A$33:$BY$78,Data!$BP$32,FALSE)=1,VLOOKUP($F$3,Data!$A$33:$BM$78,Data!U$32,FALSE),VLOOKUP($F$3,Data!$A$33:$BM$78,Data!AS$32,FALSE))</f>
        <v>m</v>
      </c>
      <c r="L39" s="133" t="str">
        <f>IF(VLOOKUP($F$3,Data!$A$33:$BY$78,Data!$BP$32,FALSE)=1,VLOOKUP($F$3,Data!$A$33:$BM$78,Data!V$32,FALSE),VLOOKUP($F$3,Data!$A$33:$BM$78,Data!AT$32,FALSE))</f>
        <v>m</v>
      </c>
      <c r="M39" s="133" t="str">
        <f>IF(VLOOKUP($F$3,Data!$A$33:$BY$78,Data!$BP$32,FALSE)=1,VLOOKUP($F$3,Data!$A$33:$BM$78,Data!W$32,FALSE),VLOOKUP($F$3,Data!$A$33:$BM$78,Data!AU$32,FALSE))</f>
        <v>m</v>
      </c>
      <c r="N39" s="133" t="str">
        <f>IF(VLOOKUP($F$3,Data!$A$33:$BY$78,Data!$BP$32,FALSE)=1,VLOOKUP($F$3,Data!$A$33:$BM$78,Data!X$32,FALSE),VLOOKUP($F$3,Data!$A$33:$BM$78,Data!AV$32,FALSE))</f>
        <v>m</v>
      </c>
      <c r="O39" s="133" t="str">
        <f>IF(VLOOKUP($F$3,Data!$A$33:$BY$78,Data!$BP$32,FALSE)=1,VLOOKUP($F$3,Data!$A$33:$BM$78,Data!Y$32,FALSE),VLOOKUP($F$3,Data!$A$33:$BM$78,Data!AW$32,FALSE))</f>
        <v>m</v>
      </c>
      <c r="P39" s="133" t="str">
        <f>IF(VLOOKUP($F$3,Data!$A$33:$BY$78,Data!$BP$32,FALSE)=1,VLOOKUP($F$3,Data!$A$33:$BM$78,Data!Z$32,FALSE),VLOOKUP($F$3,Data!$A$33:$BM$78,Data!AX$32,FALSE))</f>
        <v>m</v>
      </c>
      <c r="Q39" s="133" t="str">
        <f>IF(VLOOKUP($F$3,Data!$A$33:$BY$78,Data!$BP$32,FALSE)=1,VLOOKUP($F$3,Data!$A$33:$BM$78,Data!AA$32,FALSE),VLOOKUP($F$3,Data!$A$33:$BM$78,Data!AY$32,FALSE))</f>
        <v>m</v>
      </c>
      <c r="R39" s="133" t="str">
        <f>IF(VLOOKUP($F$3,Data!$A$33:$BY$78,Data!$BP$32,FALSE)=1,VLOOKUP($F$3,Data!$A$33:$BM$78,Data!AB$32,FALSE),VLOOKUP($F$3,Data!$A$33:$BM$78,Data!AZ$32,FALSE))</f>
        <v>o</v>
      </c>
      <c r="S39" s="133" t="str">
        <f>IF(VLOOKUP($F$3,Data!$A$33:$BY$78,Data!$BP$32,FALSE)=1,VLOOKUP($F$3,Data!$A$33:$BM$78,Data!AC$32,FALSE),VLOOKUP($F$3,Data!$A$33:$BM$78,Data!BA$32,FALSE))</f>
        <v>o</v>
      </c>
      <c r="T39" s="133" t="str">
        <f>IF(VLOOKUP($F$3,Data!$A$33:$BY$78,Data!$BP$32,FALSE)=1,VLOOKUP($F$3,Data!$A$33:$BM$78,Data!AD$32,FALSE),VLOOKUP($F$3,Data!$A$33:$BM$78,Data!BB$32,FALSE))</f>
        <v>o</v>
      </c>
      <c r="U39" s="133" t="str">
        <f>IF(VLOOKUP($F$3,Data!$A$33:$BY$78,Data!$BP$32,FALSE)=1,VLOOKUP($F$3,Data!$A$33:$BM$78,Data!AE$32,FALSE),VLOOKUP($F$3,Data!$A$33:$BM$78,Data!BC$32,FALSE))</f>
        <v>o</v>
      </c>
      <c r="V39" s="133" t="str">
        <f>IF(VLOOKUP($F$3,Data!$A$33:$BY$78,Data!$BP$32,FALSE)=1,VLOOKUP($F$3,Data!$A$33:$BM$78,Data!AF$32,FALSE),VLOOKUP($F$3,Data!$A$33:$BM$78,Data!BD$32,FALSE))</f>
        <v>o</v>
      </c>
      <c r="W39" s="133" t="str">
        <f>IF(VLOOKUP($F$3,Data!$A$33:$BY$78,Data!$BP$32,FALSE)=1,VLOOKUP($F$3,Data!$A$33:$BM$78,Data!AG$32,FALSE),VLOOKUP($F$3,Data!$A$33:$BM$78,Data!BE$32,FALSE))</f>
        <v>o</v>
      </c>
      <c r="X39" s="133" t="str">
        <f>IF(VLOOKUP($F$3,Data!$A$33:$BY$78,Data!$BP$32,FALSE)=1,VLOOKUP($F$3,Data!$A$33:$BM$78,Data!AH$32,FALSE),VLOOKUP($F$3,Data!$A$33:$BM$78,Data!BF$32,FALSE))</f>
        <v>o</v>
      </c>
      <c r="Y39" s="133" t="str">
        <f>IF(VLOOKUP($F$3,Data!$A$33:$BY$78,Data!$BP$32,FALSE)=1,VLOOKUP($F$3,Data!$A$33:$BM$78,Data!AI$32,FALSE),VLOOKUP($F$3,Data!$A$33:$BM$78,Data!BG$32,FALSE))</f>
        <v>o</v>
      </c>
      <c r="Z39" s="133" t="str">
        <f>IF(VLOOKUP($F$3,Data!$A$33:$BY$78,Data!$BP$32,FALSE)=1,VLOOKUP($F$3,Data!$A$33:$BM$78,Data!AJ$32,FALSE),VLOOKUP($F$3,Data!$A$33:$BM$78,Data!BH$32,FALSE))</f>
        <v>o</v>
      </c>
      <c r="AA39" s="133" t="str">
        <f>IF(VLOOKUP($F$3,Data!$A$33:$BY$78,Data!$BP$32,FALSE)=1,VLOOKUP($F$3,Data!$A$33:$BM$78,Data!AK$32,FALSE),VLOOKUP($F$3,Data!$A$33:$BM$78,Data!BI$32,FALSE))</f>
        <v>o</v>
      </c>
      <c r="AB39" s="133" t="str">
        <f>IF(VLOOKUP($F$3,Data!$A$33:$BY$78,Data!$BP$32,FALSE)=1,VLOOKUP($F$3,Data!$A$33:$BM$78,Data!AL$32,FALSE),VLOOKUP($F$3,Data!$A$33:$BM$78,Data!BJ$32,FALSE))</f>
        <v>o</v>
      </c>
      <c r="AC39" s="133" t="str">
        <f>IF(VLOOKUP($F$3,Data!$A$33:$BY$78,Data!$BP$32,FALSE)=1,VLOOKUP($F$3,Data!$A$33:$BM$78,Data!AM$32,FALSE),VLOOKUP($F$3,Data!$A$33:$BM$78,Data!BK$32,FALSE))</f>
        <v>o</v>
      </c>
      <c r="AD39" s="133" t="str">
        <f>IF(VLOOKUP($F$3,Data!$A$33:$BY$78,Data!$BP$32,FALSE)=1,VLOOKUP($F$3,Data!$A$33:$BM$78,Data!AN$32,FALSE),VLOOKUP($F$3,Data!$A$33:$BM$78,Data!BL$32,FALSE))</f>
        <v>o</v>
      </c>
      <c r="AE39" s="133" t="str">
        <f>IF(VLOOKUP($F$3,Data!$A$33:$BY$78,Data!$BP$32,FALSE)=1,VLOOKUP($F$3,Data!$A$33:$BM$78,Data!AO$32,FALSE),VLOOKUP($F$3,Data!$A$33:$BM$78,Data!BM$32,FALSE))</f>
        <v>o</v>
      </c>
      <c r="AF39" s="189"/>
      <c r="AI39" s="23"/>
      <c r="AJ39" s="23"/>
      <c r="AK39" s="102"/>
    </row>
    <row r="40" spans="2:39" ht="15.75" hidden="1" outlineLevel="1" x14ac:dyDescent="0.25">
      <c r="B40" s="187"/>
      <c r="C40" s="126"/>
      <c r="D40" s="6"/>
      <c r="E40" s="6"/>
      <c r="F40" s="6"/>
      <c r="G40" s="6"/>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89"/>
      <c r="AI40" s="23"/>
      <c r="AJ40" s="23"/>
      <c r="AK40" s="102"/>
    </row>
    <row r="41" spans="2:39" ht="16.5" hidden="1" outlineLevel="1" thickBot="1" x14ac:dyDescent="0.3">
      <c r="B41" s="187"/>
      <c r="C41" s="73" t="s">
        <v>180</v>
      </c>
      <c r="D41" s="73"/>
      <c r="E41" s="73"/>
      <c r="F41" s="73"/>
      <c r="G41" s="259" t="str">
        <f>IF($W$12="Tier","Tier 1","On-Peak")</f>
        <v>On-Peak</v>
      </c>
      <c r="H41" s="259"/>
      <c r="I41" s="259" t="str">
        <f>IF($W$12="Tier","Tier 2","Mid-Peak")</f>
        <v>Mid-Peak</v>
      </c>
      <c r="J41" s="259"/>
      <c r="K41" s="259" t="str">
        <f>IF($W$12="Tier","Tier 3","Off-Peak")</f>
        <v>Off-Peak</v>
      </c>
      <c r="L41" s="259"/>
      <c r="M41" s="259" t="s">
        <v>12</v>
      </c>
      <c r="N41" s="259"/>
      <c r="O41" s="6"/>
      <c r="P41" s="6"/>
      <c r="Q41" s="243" t="str">
        <f>IF($W12="Subscription","March Subscription","March Demand")</f>
        <v>March Demand</v>
      </c>
      <c r="R41" s="243"/>
      <c r="S41" s="236"/>
      <c r="T41" s="259" t="str">
        <f>IF(ISNUMBER(FIND("SDG&amp;E AL-TOU2",$F$3)),"TOU Demand","")</f>
        <v/>
      </c>
      <c r="U41" s="259"/>
      <c r="V41" s="259" t="str">
        <f>IF($W36="Subscription","Subscription","Maximum")</f>
        <v>Maximum</v>
      </c>
      <c r="W41" s="259"/>
      <c r="X41" s="259" t="s">
        <v>60</v>
      </c>
      <c r="Y41" s="259"/>
      <c r="Z41" s="259" t="s">
        <v>61</v>
      </c>
      <c r="AA41" s="259"/>
      <c r="AB41" s="259" t="s">
        <v>55</v>
      </c>
      <c r="AC41" s="259"/>
      <c r="AD41" s="259" t="s">
        <v>12</v>
      </c>
      <c r="AE41" s="259"/>
      <c r="AF41" s="189"/>
    </row>
    <row r="42" spans="2:39" ht="15" hidden="1" customHeight="1" outlineLevel="1" x14ac:dyDescent="0.25">
      <c r="B42" s="187"/>
      <c r="C42" s="6" t="s">
        <v>103</v>
      </c>
      <c r="D42" s="6"/>
      <c r="E42" s="6"/>
      <c r="F42" s="6"/>
      <c r="G42" s="260">
        <f>SUMIF($H39:$AE39,"p",$H38:$AE38)/SUM($H38:$AE38)</f>
        <v>0</v>
      </c>
      <c r="H42" s="260"/>
      <c r="I42" s="260">
        <f>SUMIF($H39:$AE39,"m",$H38:$AE38)/SUM($H38:$AE38)</f>
        <v>0</v>
      </c>
      <c r="J42" s="260"/>
      <c r="K42" s="284">
        <f>SUMIF($H39:$AE39,"o",$H38:$AE38)/SUM($H38:$AE38)</f>
        <v>1</v>
      </c>
      <c r="L42" s="284"/>
      <c r="M42" s="6"/>
      <c r="N42" s="6"/>
      <c r="O42" s="6"/>
      <c r="P42" s="6"/>
      <c r="Q42" s="6" t="s">
        <v>104</v>
      </c>
      <c r="R42" s="6"/>
      <c r="S42" s="6"/>
      <c r="T42" s="291" t="str">
        <f>IF(ISNUMBER(FIND("SDG&amp;E AL-TOU2",$F$3)),MAX($X42:$AA42),"")</f>
        <v/>
      </c>
      <c r="U42" s="291"/>
      <c r="V42" s="260">
        <f>IF($W36="Subscription","",MAX($X42:$AC42))</f>
        <v>0.75</v>
      </c>
      <c r="W42" s="260"/>
      <c r="X42" s="284">
        <f t="array" ref="X42">MAX(IF($H39:$AE39="p",$H38:$AE38))</f>
        <v>0</v>
      </c>
      <c r="Y42" s="284"/>
      <c r="Z42" s="284">
        <f t="array" ref="Z42">MAX(IF($H39:$AE39="m",$H38:$AE38))</f>
        <v>0</v>
      </c>
      <c r="AA42" s="284"/>
      <c r="AB42" s="284">
        <f t="array" ref="AB42">MAX(IF($H39:$AE39="o",$H38:$AE38))</f>
        <v>0.75</v>
      </c>
      <c r="AC42" s="284"/>
      <c r="AD42" s="6"/>
      <c r="AE42" s="6"/>
      <c r="AF42" s="189"/>
    </row>
    <row r="43" spans="2:39" ht="15.75" hidden="1" outlineLevel="1" x14ac:dyDescent="0.25">
      <c r="B43" s="187"/>
      <c r="C43" s="6" t="s">
        <v>101</v>
      </c>
      <c r="D43" s="6"/>
      <c r="E43" s="6"/>
      <c r="F43" s="6"/>
      <c r="G43" s="265">
        <f>IF( $W$12="Tier",IF(OR(VLOOKUP($F$3,Data!$A$33:$CN$78,Data!CM$32,FALSE)&gt;$M43,VLOOKUP($F$3,Data!$A$33:$CN$78,Data!CM$32,FALSE)=0),$M43,VLOOKUP($F$3,Data!$A$33:$CN$78,Data!CM$32,FALSE)),$M43*$G42)</f>
        <v>0</v>
      </c>
      <c r="H43" s="265"/>
      <c r="I43" s="265">
        <f>IF(
 $W$12="Tier",
 IF(
  OR($M43&lt;VLOOKUP($F$3,Data!$A$33:$CN$78,Data!CM$32,FALSE),VLOOKUP($F$3,Data!$A$33:$CN$78,Data!CM$32,FALSE)=0),
  0,
   IF(
    OR($M43&gt;VLOOKUP($F$3,Data!$A$33:$CN$78,Data!CM$32,FALSE),VLOOKUP($F$3,Data!$A$33:$CN$78,Data!CN$32,FALSE)=0),
    $M43-VLOOKUP($F$3,Data!$A$33:$CN$78,Data!CM$32,FALSE),
    VLOOKUP($F$3,Data!$A$33:$CN$78,Data!CN$32,FALSE)-VLOOKUP($F$3,Data!$A$33:$CN$78,Data!CM$32,FALSE)
   )
 ),
 $M43*$I42)</f>
        <v>0</v>
      </c>
      <c r="J43" s="265"/>
      <c r="K43" s="265">
        <f>IF($W$12="Tier",M43-SUM(G43:J43),$M43*K42)</f>
        <v>60622.222222222219</v>
      </c>
      <c r="L43" s="265"/>
      <c r="M43" s="261">
        <f>+$O$35*$F$35*$F$6*31/$F$7</f>
        <v>60622.222222222219</v>
      </c>
      <c r="N43" s="261"/>
      <c r="O43" s="6"/>
      <c r="P43" s="6"/>
      <c r="Q43" s="6" t="s">
        <v>107</v>
      </c>
      <c r="R43" s="6"/>
      <c r="S43" s="6"/>
      <c r="T43" s="262" t="str">
        <f>IF(ISNUMBER(FIND("SDG&amp;E AL-TOU2",$F$3)),ROUND(MAX($X43:$AA43),0),"")</f>
        <v/>
      </c>
      <c r="U43" s="262"/>
      <c r="V43" s="261">
        <f>IF($W36="Subscription",$F$9,ROUND(MAX($X43:$AC43),0))</f>
        <v>285</v>
      </c>
      <c r="W43" s="262"/>
      <c r="X43" s="265">
        <f>VLOOKUP($F$5,Data!$A$9:$C$21,Data!$B$8,FALSE)*$O36*$X42</f>
        <v>0</v>
      </c>
      <c r="Y43" s="265"/>
      <c r="Z43" s="265">
        <f>VLOOKUP($F$5,Data!$A$9:$C$21,Data!$B$8,FALSE)*$O36*$Z42</f>
        <v>0</v>
      </c>
      <c r="AA43" s="265"/>
      <c r="AB43" s="265">
        <f>VLOOKUP($F$5,Data!$A$9:$C$21,Data!$B$8,FALSE)*$O36*$AB42</f>
        <v>285</v>
      </c>
      <c r="AC43" s="265"/>
      <c r="AD43" s="261"/>
      <c r="AE43" s="261"/>
      <c r="AF43" s="189"/>
    </row>
    <row r="44" spans="2:39" ht="16.5" hidden="1" outlineLevel="1" thickBot="1" x14ac:dyDescent="0.3">
      <c r="B44" s="187"/>
      <c r="C44" s="56" t="s">
        <v>100</v>
      </c>
      <c r="D44" s="56"/>
      <c r="E44" s="56"/>
      <c r="F44" s="56"/>
      <c r="G44" s="263">
        <f>IF($W$12="Tier",IF(VLOOKUP($F$3,Data!$A$33:$CN$78,Data!BP$32,FALSE)=1,VLOOKUP($F$3,Data!$A$33:$CN$78,Data!CE$32,FALSE),VLOOKUP($F$3,Data!$A$33:$CN$78,Data!CJ$32,FALSE)),IF(VLOOKUP($F$3,Data!$A$33:$CN$78,Data!BP$32,FALSE)=1,VLOOKUP($F$3,Data!$A$33:$CN$78,Data!$K$32,FALSE),VLOOKUP($F$3,Data!$A$33:$CN$78,Data!$N$32,FALSE)))</f>
        <v>0.10590000000000001</v>
      </c>
      <c r="H44" s="263"/>
      <c r="I44" s="263">
        <f>IF($W$12="Tier",IF(VLOOKUP($F$3,Data!$A$33:$CN$78,Data!BP$32,FALSE) = 1,VLOOKUP($F$3,Data!$A$33:$CN$78,Data!CF$32,FALSE),VLOOKUP($F$3,Data!$A$33:$CN$78,Data!CK$32,FALSE)),IF(VLOOKUP($F$3,Data!$A$33:$CN$78,Data!BP$32,FALSE) = 1,VLOOKUP($F$3,Data!$A$33:$CN$78,Data!$L$32,FALSE),VLOOKUP($F$3,Data!$A$33:$CN$78,Data!$O$32,FALSE)))</f>
        <v>0</v>
      </c>
      <c r="J44" s="263"/>
      <c r="K44" s="263">
        <f>IF($W$12="Tier",IF(VLOOKUP($F$3,Data!$A$33:$CN$78,Data!BP$32,FALSE) = 1,VLOOKUP($F$3,Data!$A$33:$CN$78,Data!CG$32,FALSE),VLOOKUP($F$3,Data!$A$33:$CN$78,Data!CL$32,FALSE)),IF(VLOOKUP($F$3,Data!$A$33:$CN$78,Data!BP$32,FALSE) = 1,VLOOKUP($F$3,Data!$A$33:$CN$78,Data!$M$32,FALSE),VLOOKUP($F$3,Data!$A$33:$CN$78,Data!$P$32,FALSE)))</f>
        <v>8.4400000000000003E-2</v>
      </c>
      <c r="L44" s="263"/>
      <c r="M44" s="266"/>
      <c r="N44" s="266"/>
      <c r="O44" s="6"/>
      <c r="P44" s="6"/>
      <c r="Q44" s="56" t="str">
        <f>IF($W36="Subscription","Subscription Rate ($/kW)","Demand Rate ($/kW)")</f>
        <v>Demand Rate ($/kW)</v>
      </c>
      <c r="R44" s="56"/>
      <c r="S44" s="56"/>
      <c r="T44" s="263" t="str">
        <f>IF(ISNUMBER(FIND("SDG&amp;E AL-TOU2",$F$3)),19.7,"")</f>
        <v/>
      </c>
      <c r="U44" s="263"/>
      <c r="V44" s="263">
        <f>IF(VLOOKUP($F$3,Data!$A$33:$CN$78,Data!BP$32,FALSE) = 1,VLOOKUP($F$3,Data!$A$33:$CN$78,Data!$C$32,FALSE),VLOOKUP($F$3,Data!$A$33:$CN$78,Data!$G$32,FALSE))</f>
        <v>3.8</v>
      </c>
      <c r="W44" s="263"/>
      <c r="X44" s="263">
        <f>IF(VLOOKUP($F$3,Data!$A$33:$CN$78,Data!BP$32,FALSE) = 1,VLOOKUP($F$3,Data!$A$33:$CN$78,Data!$D$32,FALSE),VLOOKUP($F$3,Data!$A$33:$CN$78,Data!$H$32,FALSE))</f>
        <v>0</v>
      </c>
      <c r="Y44" s="263"/>
      <c r="Z44" s="263">
        <f>IF(VLOOKUP($F$3,Data!$A$33:$CN$78,Data!BP$32,FALSE) = 1,VLOOKUP($F$3,Data!$A$33:$CN$78,Data!$E$32,FALSE),VLOOKUP($F$3,Data!$A$33:$CN$78,Data!$I$32,FALSE))</f>
        <v>0</v>
      </c>
      <c r="AA44" s="263"/>
      <c r="AB44" s="263">
        <f>IF(VLOOKUP($F$3,Data!$A$33:$CN$78,Data!BP$32,FALSE) = 1,VLOOKUP($F$3,Data!$A$33:$CN$78,Data!$F$32,FALSE),VLOOKUP($F$3,Data!$A$33:$CN$78,Data!$J$32,FALSE))</f>
        <v>0</v>
      </c>
      <c r="AC44" s="263"/>
      <c r="AD44" s="56"/>
      <c r="AE44" s="56"/>
      <c r="AF44" s="189"/>
    </row>
    <row r="45" spans="2:39" ht="15.75" hidden="1" outlineLevel="1" x14ac:dyDescent="0.25">
      <c r="B45" s="187"/>
      <c r="C45" s="92" t="s">
        <v>102</v>
      </c>
      <c r="D45" s="76"/>
      <c r="E45" s="76"/>
      <c r="F45" s="76"/>
      <c r="G45" s="270">
        <f>+G43*G44</f>
        <v>0</v>
      </c>
      <c r="H45" s="270"/>
      <c r="I45" s="269">
        <f>+I43*I44</f>
        <v>0</v>
      </c>
      <c r="J45" s="269"/>
      <c r="K45" s="270">
        <f>+K43*K44</f>
        <v>5116.5155555555557</v>
      </c>
      <c r="L45" s="270"/>
      <c r="M45" s="270">
        <f>SUM(G45:L45)</f>
        <v>5116.5155555555557</v>
      </c>
      <c r="N45" s="270"/>
      <c r="O45" s="6"/>
      <c r="P45" s="6"/>
      <c r="Q45" s="6" t="str">
        <f>IF($W36="Subscription","Subscription Fee","Demand Charge")</f>
        <v>Demand Charge</v>
      </c>
      <c r="R45" s="72"/>
      <c r="S45" s="72"/>
      <c r="T45" s="287" t="str">
        <f>IF(ISNUMBER(FIND("SDG&amp;E AL-TOU2",$F$3)),$T43*$T44,"")</f>
        <v/>
      </c>
      <c r="U45" s="287"/>
      <c r="V45" s="293">
        <f>+V43*V44</f>
        <v>1083</v>
      </c>
      <c r="W45" s="293"/>
      <c r="X45" s="293">
        <f>+X43*X44</f>
        <v>0</v>
      </c>
      <c r="Y45" s="293"/>
      <c r="Z45" s="293">
        <f>+Z43*Z44</f>
        <v>0</v>
      </c>
      <c r="AA45" s="293"/>
      <c r="AB45" s="293">
        <f>+AB43*AB44</f>
        <v>0</v>
      </c>
      <c r="AC45" s="293"/>
      <c r="AD45" s="293">
        <f>SUM(T45:AC45)</f>
        <v>1083</v>
      </c>
      <c r="AE45" s="293"/>
      <c r="AF45" s="189"/>
    </row>
    <row r="46" spans="2:39" ht="15.75" hidden="1" outlineLevel="1" x14ac:dyDescent="0.25">
      <c r="B46" s="190"/>
      <c r="C46" s="174"/>
      <c r="D46" s="175"/>
      <c r="E46" s="175"/>
      <c r="F46" s="175"/>
      <c r="G46" s="176"/>
      <c r="H46" s="176"/>
      <c r="I46" s="176"/>
      <c r="J46" s="176"/>
      <c r="K46" s="176"/>
      <c r="L46" s="176"/>
      <c r="M46" s="176"/>
      <c r="N46" s="176"/>
      <c r="O46" s="177"/>
      <c r="P46" s="177"/>
      <c r="Q46" s="177"/>
      <c r="R46" s="177"/>
      <c r="S46" s="177"/>
      <c r="T46" s="177"/>
      <c r="U46" s="177"/>
      <c r="V46" s="178"/>
      <c r="W46" s="178"/>
      <c r="X46" s="178"/>
      <c r="Y46" s="178"/>
      <c r="Z46" s="178"/>
      <c r="AA46" s="178"/>
      <c r="AB46" s="178"/>
      <c r="AC46" s="178"/>
      <c r="AD46" s="178"/>
      <c r="AE46" s="178"/>
      <c r="AF46" s="191"/>
    </row>
    <row r="47" spans="2:39" ht="15.75" collapsed="1" x14ac:dyDescent="0.25">
      <c r="B47" s="192" t="s">
        <v>181</v>
      </c>
      <c r="C47" s="6"/>
      <c r="D47" s="6"/>
      <c r="E47" s="165" t="s">
        <v>172</v>
      </c>
      <c r="F47" s="167">
        <v>80</v>
      </c>
      <c r="G47" s="169" t="s">
        <v>173</v>
      </c>
      <c r="H47" s="6"/>
      <c r="I47" s="165" t="s">
        <v>222</v>
      </c>
      <c r="J47" s="294" t="s">
        <v>367</v>
      </c>
      <c r="K47" s="294"/>
      <c r="L47" s="294"/>
      <c r="M47" s="6"/>
      <c r="N47" s="165" t="s">
        <v>205</v>
      </c>
      <c r="O47" s="170">
        <v>0.9</v>
      </c>
      <c r="P47" s="168" t="s">
        <v>206</v>
      </c>
      <c r="Q47" s="6"/>
      <c r="R47" s="76"/>
      <c r="S47" s="72"/>
      <c r="T47" s="72"/>
      <c r="U47" s="72"/>
      <c r="V47" s="171" t="str">
        <f>+"April Monthly Bill (with taxes/fees) = "</f>
        <v xml:space="preserve">April Monthly Bill (with taxes/fees) = </v>
      </c>
      <c r="W47" s="172">
        <f>(AD57+M57+VLOOKUP($F$3,Data!$A$33:$CA$78,2))*(1+$F$8)</f>
        <v>5250.6824999999999</v>
      </c>
      <c r="X47" s="72"/>
      <c r="Y47" s="68"/>
      <c r="Z47" s="223"/>
      <c r="AA47" s="239"/>
      <c r="AB47" s="239" t="str">
        <f>"Cost = $"&amp;FIXED(W47/M55,2) &amp; "/kWh"</f>
        <v>Cost = $0.11/kWh</v>
      </c>
      <c r="AC47" s="222" t="s">
        <v>344</v>
      </c>
      <c r="AD47" s="173" t="str">
        <f>"$"&amp; FIXED(W47*O47/M55,2)&amp;"/mi."</f>
        <v>$0.10/mi.</v>
      </c>
      <c r="AE47" s="72"/>
      <c r="AF47" s="189"/>
      <c r="AH47" s="88"/>
      <c r="AI47" s="23"/>
      <c r="AK47" s="102"/>
      <c r="AL47" s="23"/>
    </row>
    <row r="48" spans="2:39" s="138" customFormat="1" hidden="1" outlineLevel="1" x14ac:dyDescent="0.2">
      <c r="B48" s="186" t="s">
        <v>122</v>
      </c>
      <c r="C48" s="240">
        <f>ROUND(2*$E48/$G48,1)/2</f>
        <v>0.55000000000000004</v>
      </c>
      <c r="D48" s="156" t="s">
        <v>120</v>
      </c>
      <c r="E48" s="245">
        <f>+$O47*$F47*$M48/($F$7*$Q48)</f>
        <v>4.2105263157894735</v>
      </c>
      <c r="F48" s="156" t="s">
        <v>119</v>
      </c>
      <c r="G48" s="246">
        <f>+VLOOKUP($J47,Data!$Q$9:$BQ$17,Data!$BP$8,FALSE)</f>
        <v>8</v>
      </c>
      <c r="H48" s="143" t="s">
        <v>116</v>
      </c>
      <c r="I48" s="155">
        <f>IF(VLOOKUP($F$4,Data!$G$9:$L$16,Data!$L$8,FALSE)&lt;1,VLOOKUP($F$4,Data!$G$9:$L$16,Data!$L$8,FALSE),1)</f>
        <v>1</v>
      </c>
      <c r="J48" s="143" t="s">
        <v>117</v>
      </c>
      <c r="K48" s="240">
        <f>IF(VLOOKUP($F$4,Data!$G$9:$L$16,Data!$L$8,FALSE)="software",IF($C48&gt;0.75,1,$C48+0.1),1)</f>
        <v>0.65</v>
      </c>
      <c r="L48" s="143" t="s">
        <v>109</v>
      </c>
      <c r="M48" s="246">
        <f>+VLOOKUP($F$4,Data!$G$9:$L$16,Data!$I$8)</f>
        <v>1</v>
      </c>
      <c r="N48" s="143" t="s">
        <v>108</v>
      </c>
      <c r="O48" s="247">
        <f>INT($F$6/$M48)+IF(($F$6/$M48-INT($F$6/$M48))&gt;0,1,0)</f>
        <v>20</v>
      </c>
      <c r="P48" s="143" t="s">
        <v>121</v>
      </c>
      <c r="Q48" s="143">
        <f>VLOOKUP($F$5,Data!$A$9:$C$19,Data!$B$8,FALSE)</f>
        <v>19</v>
      </c>
      <c r="R48" s="144" t="s">
        <v>25</v>
      </c>
      <c r="S48" s="247">
        <f>VLOOKUP($F$3,Data!$A$33:$CN$78,Data!$CB$32,FALSE)</f>
        <v>300</v>
      </c>
      <c r="T48" s="144" t="s">
        <v>26</v>
      </c>
      <c r="U48" s="247">
        <f>IF(VLOOKUP($F$3,Data!$A$33:$CN$78,Data!$CC$32)="N/A",10000000,VLOOKUP($F$3,Data!$A$33:$CN$78,Data!$CC$32,FALSE))</f>
        <v>500</v>
      </c>
      <c r="V48" s="144" t="s">
        <v>40</v>
      </c>
      <c r="W48" s="158" t="str">
        <f>VLOOKUP($F$3,Data!$A$33:$CN$78,Data!CD$32,FALSE)</f>
        <v>TOU</v>
      </c>
      <c r="X48" s="157" t="s">
        <v>144</v>
      </c>
      <c r="Y48" s="248">
        <f>VLOOKUP($F$3,Data!$A$33:$CN$78,Data!$BZ$32)</f>
        <v>3</v>
      </c>
      <c r="Z48" s="144"/>
      <c r="AA48" s="144"/>
      <c r="AB48" s="144"/>
      <c r="AC48" s="144"/>
      <c r="AD48" s="144"/>
      <c r="AE48" s="144"/>
      <c r="AF48" s="255"/>
      <c r="AG48" s="140"/>
      <c r="AH48" s="140"/>
      <c r="AI48" s="137"/>
      <c r="AK48" s="139"/>
      <c r="AL48" s="141"/>
      <c r="AM48" s="141"/>
    </row>
    <row r="49" spans="2:39" ht="15.75" hidden="1" outlineLevel="1" x14ac:dyDescent="0.25">
      <c r="B49" s="187"/>
      <c r="C49" s="130" t="s">
        <v>222</v>
      </c>
      <c r="D49" s="65"/>
      <c r="E49" s="65"/>
      <c r="F49" s="6"/>
      <c r="G49" s="6"/>
      <c r="H49" s="66" t="s">
        <v>74</v>
      </c>
      <c r="I49" s="66" t="s">
        <v>75</v>
      </c>
      <c r="J49" s="66" t="s">
        <v>76</v>
      </c>
      <c r="K49" s="66" t="s">
        <v>77</v>
      </c>
      <c r="L49" s="66" t="s">
        <v>78</v>
      </c>
      <c r="M49" s="66" t="s">
        <v>79</v>
      </c>
      <c r="N49" s="66" t="s">
        <v>80</v>
      </c>
      <c r="O49" s="66" t="s">
        <v>81</v>
      </c>
      <c r="P49" s="66" t="s">
        <v>82</v>
      </c>
      <c r="Q49" s="66" t="s">
        <v>83</v>
      </c>
      <c r="R49" s="66" t="s">
        <v>84</v>
      </c>
      <c r="S49" s="66" t="s">
        <v>85</v>
      </c>
      <c r="T49" s="66" t="s">
        <v>86</v>
      </c>
      <c r="U49" s="66" t="s">
        <v>87</v>
      </c>
      <c r="V49" s="66" t="s">
        <v>88</v>
      </c>
      <c r="W49" s="66" t="s">
        <v>89</v>
      </c>
      <c r="X49" s="66" t="s">
        <v>90</v>
      </c>
      <c r="Y49" s="66" t="s">
        <v>91</v>
      </c>
      <c r="Z49" s="66" t="s">
        <v>92</v>
      </c>
      <c r="AA49" s="66" t="s">
        <v>93</v>
      </c>
      <c r="AB49" s="66" t="s">
        <v>94</v>
      </c>
      <c r="AC49" s="66" t="s">
        <v>95</v>
      </c>
      <c r="AD49" s="66" t="s">
        <v>96</v>
      </c>
      <c r="AE49" s="66" t="s">
        <v>97</v>
      </c>
      <c r="AF49" s="188"/>
      <c r="AI49" s="23"/>
      <c r="AJ49" s="23"/>
      <c r="AK49" s="102"/>
    </row>
    <row r="50" spans="2:39" ht="15.75" hidden="1" outlineLevel="1" x14ac:dyDescent="0.25">
      <c r="B50" s="187"/>
      <c r="C50" s="295" t="str">
        <f>J47</f>
        <v>Late Evening (10p-6a)</v>
      </c>
      <c r="D50" s="296"/>
      <c r="E50" s="296"/>
      <c r="F50" s="296"/>
      <c r="G50" s="297"/>
      <c r="H50" s="151">
        <f>$I48*$K48*VLOOKUP($C50,Data!$Q$9:$BO$17,Data!T$8,FALSE)</f>
        <v>0</v>
      </c>
      <c r="I50" s="151">
        <f>$I48*$K48*VLOOKUP($C50,Data!$Q$9:$BO$17,Data!U$8,FALSE)</f>
        <v>0</v>
      </c>
      <c r="J50" s="151">
        <f>$I48*$K48*VLOOKUP($C50,Data!$Q$9:$BO$17,Data!V$8,FALSE)</f>
        <v>0</v>
      </c>
      <c r="K50" s="151">
        <f>$I48*$K48*VLOOKUP($C50,Data!$Q$9:$BO$17,Data!W$8,FALSE)</f>
        <v>0</v>
      </c>
      <c r="L50" s="151">
        <f>$I48*$K48*VLOOKUP($C50,Data!$Q$9:$BO$17,Data!X$8,FALSE)</f>
        <v>0</v>
      </c>
      <c r="M50" s="151">
        <f>$I48*$K48*VLOOKUP($C50,Data!$Q$9:$BO$17,Data!Y$8,FALSE)</f>
        <v>0</v>
      </c>
      <c r="N50" s="151">
        <f>$I48*$K48*VLOOKUP($C50,Data!$Q$9:$BO$17,Data!Z$8,FALSE)</f>
        <v>0</v>
      </c>
      <c r="O50" s="151">
        <f>$I48*$K48*VLOOKUP($C50,Data!$Q$9:$BO$17,Data!AA$8,FALSE)</f>
        <v>0</v>
      </c>
      <c r="P50" s="151">
        <f>$I48*$K48*VLOOKUP($C50,Data!$Q$9:$BO$17,Data!AB$8,FALSE)</f>
        <v>0</v>
      </c>
      <c r="Q50" s="151">
        <f>$I48*$K48*VLOOKUP($C50,Data!$Q$9:$BO$17,Data!AC$8,FALSE)</f>
        <v>0</v>
      </c>
      <c r="R50" s="151">
        <f>$I48*$K48*VLOOKUP($C50,Data!$Q$9:$BO$17,Data!AD$8,FALSE)</f>
        <v>0.65</v>
      </c>
      <c r="S50" s="151">
        <f>$I48*$K48*VLOOKUP($C50,Data!$Q$9:$BO$17,Data!AE$8,FALSE)</f>
        <v>0.65</v>
      </c>
      <c r="T50" s="151">
        <f>$I48*$K48*VLOOKUP($C50,Data!$Q$9:$BO$17,Data!AF$8,FALSE)</f>
        <v>0.65</v>
      </c>
      <c r="U50" s="151">
        <f>$I48*$K48*VLOOKUP($C50,Data!$Q$9:$BO$17,Data!AG$8,FALSE)</f>
        <v>0.65</v>
      </c>
      <c r="V50" s="151">
        <f>$I48*$K48*VLOOKUP($C50,Data!$Q$9:$BO$17,Data!AH$8,FALSE)</f>
        <v>0.65</v>
      </c>
      <c r="W50" s="151">
        <f>$I48*$K48*VLOOKUP($C50,Data!$Q$9:$BO$17,Data!AI$8,FALSE)</f>
        <v>0.65</v>
      </c>
      <c r="X50" s="151">
        <f>$I48*$K48*VLOOKUP($C50,Data!$Q$9:$BO$17,Data!AJ$8,FALSE)</f>
        <v>0.65</v>
      </c>
      <c r="Y50" s="151">
        <f>$I48*$K48*VLOOKUP($C50,Data!$Q$9:$BO$17,Data!AK$8,FALSE)</f>
        <v>0.65</v>
      </c>
      <c r="Z50" s="151">
        <f>$I48*$K48*VLOOKUP($C50,Data!$Q$9:$BO$17,Data!AL$8,FALSE)</f>
        <v>0</v>
      </c>
      <c r="AA50" s="151">
        <f>$I48*$K48*VLOOKUP($C50,Data!$Q$9:$BO$17,Data!AM$8,FALSE)</f>
        <v>0</v>
      </c>
      <c r="AB50" s="151">
        <f>$I48*$K48*VLOOKUP($C50,Data!$Q$9:$BO$17,Data!AN$8,FALSE)</f>
        <v>0</v>
      </c>
      <c r="AC50" s="151">
        <f>$I48*$K48*VLOOKUP($C50,Data!$Q$9:$BO$17,Data!AO$8,FALSE)</f>
        <v>0</v>
      </c>
      <c r="AD50" s="151">
        <f>$I48*$K48*VLOOKUP($C50,Data!$Q$9:$BO$17,Data!AP$8,FALSE)</f>
        <v>0</v>
      </c>
      <c r="AE50" s="151">
        <f>$I48*$K48*VLOOKUP($C50,Data!$Q$9:$BO$17,Data!AQ$8,FALSE)</f>
        <v>0</v>
      </c>
      <c r="AF50" s="189"/>
      <c r="AI50" s="68"/>
    </row>
    <row r="51" spans="2:39" ht="15.75" hidden="1" outlineLevel="1" x14ac:dyDescent="0.25">
      <c r="B51" s="187"/>
      <c r="C51" s="126" t="s">
        <v>182</v>
      </c>
      <c r="D51" s="6"/>
      <c r="E51" s="6"/>
      <c r="F51" s="6"/>
      <c r="G51" s="6"/>
      <c r="H51" s="133" t="str">
        <f>IF(VLOOKUP($F$3,Data!$A$33:$BY$78,Data!$BQ$32,FALSE)=1,VLOOKUP($F$3,Data!$A$33:$BM$78,Data!R$32,FALSE),VLOOKUP($F$3,Data!$A$33:$BM$78,Data!AP$32,FALSE))</f>
        <v>m</v>
      </c>
      <c r="I51" s="133" t="str">
        <f>IF(VLOOKUP($F$3,Data!$A$33:$BY$78,Data!$BQ$32,FALSE)=1,VLOOKUP($F$3,Data!$A$33:$BM$78,Data!S$32,FALSE),VLOOKUP($F$3,Data!$A$33:$BM$78,Data!AQ$32,FALSE))</f>
        <v>m</v>
      </c>
      <c r="J51" s="133" t="str">
        <f>IF(VLOOKUP($F$3,Data!$A$33:$BY$78,Data!$BQ$32,FALSE)=1,VLOOKUP($F$3,Data!$A$33:$BM$78,Data!T$32,FALSE),VLOOKUP($F$3,Data!$A$33:$BM$78,Data!AR$32,FALSE))</f>
        <v>m</v>
      </c>
      <c r="K51" s="133" t="str">
        <f>IF(VLOOKUP($F$3,Data!$A$33:$BY$78,Data!$BQ$32,FALSE)=1,VLOOKUP($F$3,Data!$A$33:$BM$78,Data!U$32,FALSE),VLOOKUP($F$3,Data!$A$33:$BM$78,Data!AS$32,FALSE))</f>
        <v>m</v>
      </c>
      <c r="L51" s="133" t="str">
        <f>IF(VLOOKUP($F$3,Data!$A$33:$BY$78,Data!$BQ$32,FALSE)=1,VLOOKUP($F$3,Data!$A$33:$BM$78,Data!V$32,FALSE),VLOOKUP($F$3,Data!$A$33:$BM$78,Data!AT$32,FALSE))</f>
        <v>m</v>
      </c>
      <c r="M51" s="133" t="str">
        <f>IF(VLOOKUP($F$3,Data!$A$33:$BY$78,Data!$BQ$32,FALSE)=1,VLOOKUP($F$3,Data!$A$33:$BM$78,Data!W$32,FALSE),VLOOKUP($F$3,Data!$A$33:$BM$78,Data!AU$32,FALSE))</f>
        <v>m</v>
      </c>
      <c r="N51" s="133" t="str">
        <f>IF(VLOOKUP($F$3,Data!$A$33:$BY$78,Data!$BQ$32,FALSE)=1,VLOOKUP($F$3,Data!$A$33:$BM$78,Data!X$32,FALSE),VLOOKUP($F$3,Data!$A$33:$BM$78,Data!AV$32,FALSE))</f>
        <v>m</v>
      </c>
      <c r="O51" s="133" t="str">
        <f>IF(VLOOKUP($F$3,Data!$A$33:$BY$78,Data!$BQ$32,FALSE)=1,VLOOKUP($F$3,Data!$A$33:$BM$78,Data!Y$32,FALSE),VLOOKUP($F$3,Data!$A$33:$BM$78,Data!AW$32,FALSE))</f>
        <v>m</v>
      </c>
      <c r="P51" s="133" t="str">
        <f>IF(VLOOKUP($F$3,Data!$A$33:$BY$78,Data!$BQ$32,FALSE)=1,VLOOKUP($F$3,Data!$A$33:$BM$78,Data!Z$32,FALSE),VLOOKUP($F$3,Data!$A$33:$BM$78,Data!AX$32,FALSE))</f>
        <v>m</v>
      </c>
      <c r="Q51" s="133" t="str">
        <f>IF(VLOOKUP($F$3,Data!$A$33:$BY$78,Data!$BQ$32,FALSE)=1,VLOOKUP($F$3,Data!$A$33:$BM$78,Data!AA$32,FALSE),VLOOKUP($F$3,Data!$A$33:$BM$78,Data!AY$32,FALSE))</f>
        <v>m</v>
      </c>
      <c r="R51" s="133" t="str">
        <f>IF(VLOOKUP($F$3,Data!$A$33:$BY$78,Data!$BQ$32,FALSE)=1,VLOOKUP($F$3,Data!$A$33:$BM$78,Data!AB$32,FALSE),VLOOKUP($F$3,Data!$A$33:$BM$78,Data!AZ$32,FALSE))</f>
        <v>o</v>
      </c>
      <c r="S51" s="133" t="str">
        <f>IF(VLOOKUP($F$3,Data!$A$33:$BY$78,Data!$BQ$32,FALSE)=1,VLOOKUP($F$3,Data!$A$33:$BM$78,Data!AC$32,FALSE),VLOOKUP($F$3,Data!$A$33:$BM$78,Data!BA$32,FALSE))</f>
        <v>o</v>
      </c>
      <c r="T51" s="133" t="str">
        <f>IF(VLOOKUP($F$3,Data!$A$33:$BY$78,Data!$BQ$32,FALSE)=1,VLOOKUP($F$3,Data!$A$33:$BM$78,Data!AD$32,FALSE),VLOOKUP($F$3,Data!$A$33:$BM$78,Data!BB$32,FALSE))</f>
        <v>o</v>
      </c>
      <c r="U51" s="133" t="str">
        <f>IF(VLOOKUP($F$3,Data!$A$33:$BY$78,Data!$BQ$32,FALSE)=1,VLOOKUP($F$3,Data!$A$33:$BM$78,Data!AE$32,FALSE),VLOOKUP($F$3,Data!$A$33:$BM$78,Data!BC$32,FALSE))</f>
        <v>o</v>
      </c>
      <c r="V51" s="133" t="str">
        <f>IF(VLOOKUP($F$3,Data!$A$33:$BY$78,Data!$BQ$32,FALSE)=1,VLOOKUP($F$3,Data!$A$33:$BM$78,Data!AF$32,FALSE),VLOOKUP($F$3,Data!$A$33:$BM$78,Data!BD$32,FALSE))</f>
        <v>o</v>
      </c>
      <c r="W51" s="133" t="str">
        <f>IF(VLOOKUP($F$3,Data!$A$33:$BY$78,Data!$BQ$32,FALSE)=1,VLOOKUP($F$3,Data!$A$33:$BM$78,Data!AG$32,FALSE),VLOOKUP($F$3,Data!$A$33:$BM$78,Data!BE$32,FALSE))</f>
        <v>o</v>
      </c>
      <c r="X51" s="133" t="str">
        <f>IF(VLOOKUP($F$3,Data!$A$33:$BY$78,Data!$BQ$32,FALSE)=1,VLOOKUP($F$3,Data!$A$33:$BM$78,Data!AH$32,FALSE),VLOOKUP($F$3,Data!$A$33:$BM$78,Data!BF$32,FALSE))</f>
        <v>o</v>
      </c>
      <c r="Y51" s="133" t="str">
        <f>IF(VLOOKUP($F$3,Data!$A$33:$BY$78,Data!$BQ$32,FALSE)=1,VLOOKUP($F$3,Data!$A$33:$BM$78,Data!AI$32,FALSE),VLOOKUP($F$3,Data!$A$33:$BM$78,Data!BG$32,FALSE))</f>
        <v>o</v>
      </c>
      <c r="Z51" s="133" t="str">
        <f>IF(VLOOKUP($F$3,Data!$A$33:$BY$78,Data!$BQ$32,FALSE)=1,VLOOKUP($F$3,Data!$A$33:$BM$78,Data!AJ$32,FALSE),VLOOKUP($F$3,Data!$A$33:$BM$78,Data!BH$32,FALSE))</f>
        <v>o</v>
      </c>
      <c r="AA51" s="133" t="str">
        <f>IF(VLOOKUP($F$3,Data!$A$33:$BY$78,Data!$BQ$32,FALSE)=1,VLOOKUP($F$3,Data!$A$33:$BM$78,Data!AK$32,FALSE),VLOOKUP($F$3,Data!$A$33:$BM$78,Data!BI$32,FALSE))</f>
        <v>o</v>
      </c>
      <c r="AB51" s="133" t="str">
        <f>IF(VLOOKUP($F$3,Data!$A$33:$BY$78,Data!$BQ$32,FALSE)=1,VLOOKUP($F$3,Data!$A$33:$BM$78,Data!AL$32,FALSE),VLOOKUP($F$3,Data!$A$33:$BM$78,Data!BJ$32,FALSE))</f>
        <v>o</v>
      </c>
      <c r="AC51" s="133" t="str">
        <f>IF(VLOOKUP($F$3,Data!$A$33:$BY$78,Data!$BQ$32,FALSE)=1,VLOOKUP($F$3,Data!$A$33:$BM$78,Data!AM$32,FALSE),VLOOKUP($F$3,Data!$A$33:$BM$78,Data!BK$32,FALSE))</f>
        <v>o</v>
      </c>
      <c r="AD51" s="133" t="str">
        <f>IF(VLOOKUP($F$3,Data!$A$33:$BY$78,Data!$BQ$32,FALSE)=1,VLOOKUP($F$3,Data!$A$33:$BM$78,Data!AN$32,FALSE),VLOOKUP($F$3,Data!$A$33:$BM$78,Data!BL$32,FALSE))</f>
        <v>o</v>
      </c>
      <c r="AE51" s="133" t="str">
        <f>IF(VLOOKUP($F$3,Data!$A$33:$BY$78,Data!$BQ$32,FALSE)=1,VLOOKUP($F$3,Data!$A$33:$BM$78,Data!AO$32,FALSE),VLOOKUP($F$3,Data!$A$33:$BM$78,Data!BM$32,FALSE))</f>
        <v>o</v>
      </c>
      <c r="AF51" s="189"/>
      <c r="AI51" s="23"/>
      <c r="AJ51" s="23"/>
      <c r="AK51" s="102"/>
    </row>
    <row r="52" spans="2:39" ht="15.75" hidden="1" outlineLevel="1" x14ac:dyDescent="0.25">
      <c r="B52" s="187"/>
      <c r="C52" s="126"/>
      <c r="D52" s="6"/>
      <c r="E52" s="6"/>
      <c r="F52" s="6"/>
      <c r="G52" s="6"/>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89"/>
      <c r="AI52" s="23"/>
      <c r="AJ52" s="23"/>
      <c r="AK52" s="102"/>
    </row>
    <row r="53" spans="2:39" ht="16.5" hidden="1" outlineLevel="1" thickBot="1" x14ac:dyDescent="0.3">
      <c r="B53" s="187"/>
      <c r="C53" s="73" t="s">
        <v>183</v>
      </c>
      <c r="D53" s="73"/>
      <c r="E53" s="73"/>
      <c r="F53" s="73"/>
      <c r="G53" s="259" t="str">
        <f>IF($W$12="Tier","Tier 1","On-Peak")</f>
        <v>On-Peak</v>
      </c>
      <c r="H53" s="259"/>
      <c r="I53" s="259" t="str">
        <f>IF($W$12="Tier","Tier 2","Mid-Peak")</f>
        <v>Mid-Peak</v>
      </c>
      <c r="J53" s="259"/>
      <c r="K53" s="259" t="str">
        <f>IF($W$12="Tier","Tier 3","Off-Peak")</f>
        <v>Off-Peak</v>
      </c>
      <c r="L53" s="259"/>
      <c r="M53" s="259" t="s">
        <v>12</v>
      </c>
      <c r="N53" s="259"/>
      <c r="O53" s="6"/>
      <c r="P53" s="6"/>
      <c r="Q53" s="243" t="str">
        <f>IF($W12="Subscription","April Subscription","April Demand")</f>
        <v>April Demand</v>
      </c>
      <c r="R53" s="243"/>
      <c r="S53" s="236"/>
      <c r="T53" s="259" t="str">
        <f>IF(ISNUMBER(FIND("SDG&amp;E AL-TOU2",$F$3)),"TOU Demand","")</f>
        <v/>
      </c>
      <c r="U53" s="259"/>
      <c r="V53" s="259" t="str">
        <f>IF($W48="Subscription","Subscription","Maximum")</f>
        <v>Maximum</v>
      </c>
      <c r="W53" s="259"/>
      <c r="X53" s="259" t="s">
        <v>60</v>
      </c>
      <c r="Y53" s="259"/>
      <c r="Z53" s="259" t="s">
        <v>61</v>
      </c>
      <c r="AA53" s="259"/>
      <c r="AB53" s="259" t="s">
        <v>55</v>
      </c>
      <c r="AC53" s="259"/>
      <c r="AD53" s="259" t="s">
        <v>12</v>
      </c>
      <c r="AE53" s="259"/>
      <c r="AF53" s="189"/>
    </row>
    <row r="54" spans="2:39" ht="15" hidden="1" customHeight="1" outlineLevel="1" x14ac:dyDescent="0.25">
      <c r="B54" s="187"/>
      <c r="C54" s="6" t="s">
        <v>103</v>
      </c>
      <c r="D54" s="6"/>
      <c r="E54" s="6"/>
      <c r="F54" s="6"/>
      <c r="G54" s="260">
        <f>SUMIF($H51:$AE51,"p",$H50:$AE50)/SUM($H50:$AE50)</f>
        <v>0</v>
      </c>
      <c r="H54" s="260"/>
      <c r="I54" s="260">
        <f>SUMIF($H51:$AE51,"m",$H50:$AE50)/SUM($H50:$AE50)</f>
        <v>0</v>
      </c>
      <c r="J54" s="260"/>
      <c r="K54" s="284">
        <f>SUMIF($H51:$AE51,"o",$H50:$AE50)/SUM($H50:$AE50)</f>
        <v>1</v>
      </c>
      <c r="L54" s="284"/>
      <c r="M54" s="6"/>
      <c r="N54" s="6"/>
      <c r="O54" s="6"/>
      <c r="P54" s="6"/>
      <c r="Q54" s="6" t="s">
        <v>104</v>
      </c>
      <c r="R54" s="6"/>
      <c r="S54" s="6"/>
      <c r="T54" s="291" t="str">
        <f>IF(ISNUMBER(FIND("SDG&amp;E AL-TOU2",$F$3)),MAX($X54:$AA54),"")</f>
        <v/>
      </c>
      <c r="U54" s="291"/>
      <c r="V54" s="260">
        <f>IF($W48="Subscription","",MAX($X54:$AC54))</f>
        <v>0.65</v>
      </c>
      <c r="W54" s="260"/>
      <c r="X54" s="284">
        <f t="array" ref="X54">MAX(IF($H51:$AE51="p",$H50:$AE50))</f>
        <v>0</v>
      </c>
      <c r="Y54" s="284"/>
      <c r="Z54" s="284">
        <f t="array" ref="Z54">MAX(IF($H51:$AE51="m",$H50:$AE50))</f>
        <v>0</v>
      </c>
      <c r="AA54" s="284"/>
      <c r="AB54" s="284">
        <f t="array" ref="AB54">MAX(IF($H51:$AE51="o",$H50:$AE50))</f>
        <v>0.65</v>
      </c>
      <c r="AC54" s="284"/>
      <c r="AD54" s="6"/>
      <c r="AE54" s="6"/>
      <c r="AF54" s="189"/>
    </row>
    <row r="55" spans="2:39" ht="15.75" hidden="1" outlineLevel="1" x14ac:dyDescent="0.25">
      <c r="B55" s="187"/>
      <c r="C55" s="6" t="s">
        <v>101</v>
      </c>
      <c r="D55" s="6"/>
      <c r="E55" s="6"/>
      <c r="F55" s="6"/>
      <c r="G55" s="265">
        <f>IF( $W$12="Tier",IF(OR(VLOOKUP($F$3,Data!$A$33:$CN$78,Data!CM$32,FALSE)&gt;$M55,VLOOKUP($F$3,Data!$A$33:$CN$78,Data!CM$32,FALSE)=0),$M55,VLOOKUP($F$3,Data!$A$33:$CN$78,Data!CM$32,FALSE)),$M55*$G54)</f>
        <v>0</v>
      </c>
      <c r="H55" s="265"/>
      <c r="I55" s="265">
        <f>IF(
 $W$12="Tier",
 IF(
  OR($M55&lt;VLOOKUP($F$3,Data!$A$33:$CN$78,Data!CM$32,FALSE),VLOOKUP($F$3,Data!$A$33:$CN$78,Data!CM$32,FALSE)=0),
  0,
   IF(
    OR($M55&gt;VLOOKUP($F$3,Data!$A$33:$CN$78,Data!CM$32,FALSE),VLOOKUP($F$3,Data!$A$33:$CN$78,Data!CN$32,FALSE)=0),
    $M55-VLOOKUP($F$3,Data!$A$33:$CN$78,Data!CM$32,FALSE),
    VLOOKUP($F$3,Data!$A$33:$CN$78,Data!CN$32,FALSE)-VLOOKUP($F$3,Data!$A$33:$CN$78,Data!CM$32,FALSE)
   )
 ),
 $M55*$I54)</f>
        <v>0</v>
      </c>
      <c r="J55" s="265"/>
      <c r="K55" s="265">
        <f>IF($W$12="Tier",M55-SUM(G55:J55),$M55*K54)</f>
        <v>48000</v>
      </c>
      <c r="L55" s="265"/>
      <c r="M55" s="261">
        <f>+$O$47*F47*$F$6*30/$F$7</f>
        <v>48000</v>
      </c>
      <c r="N55" s="261"/>
      <c r="O55" s="6"/>
      <c r="P55" s="6"/>
      <c r="Q55" s="6" t="s">
        <v>107</v>
      </c>
      <c r="R55" s="6"/>
      <c r="S55" s="6"/>
      <c r="T55" s="262" t="str">
        <f>IF(ISNUMBER(FIND("SDG&amp;E AL-TOU2",$F$3)),ROUND(MAX($X55:$AA55),0),"")</f>
        <v/>
      </c>
      <c r="U55" s="262"/>
      <c r="V55" s="261">
        <f>IF($W48="Subscription",$F$9,ROUND(MAX($X55:$AC55),0))</f>
        <v>247</v>
      </c>
      <c r="W55" s="262"/>
      <c r="X55" s="265">
        <f>VLOOKUP($F$5,Data!$A$9:$C$21,Data!$B$8,FALSE)*$O48*$X54</f>
        <v>0</v>
      </c>
      <c r="Y55" s="265"/>
      <c r="Z55" s="265">
        <f>VLOOKUP($F$5,Data!$A$9:$C$21,Data!$B$8,FALSE)*$O48*$Z54</f>
        <v>0</v>
      </c>
      <c r="AA55" s="265"/>
      <c r="AB55" s="265">
        <f>VLOOKUP($F$5,Data!$A$9:$C$21,Data!$B$8,FALSE)*$O48*$AB54</f>
        <v>247</v>
      </c>
      <c r="AC55" s="265"/>
      <c r="AD55" s="261"/>
      <c r="AE55" s="261"/>
      <c r="AF55" s="189"/>
    </row>
    <row r="56" spans="2:39" ht="16.5" hidden="1" outlineLevel="1" thickBot="1" x14ac:dyDescent="0.3">
      <c r="B56" s="187"/>
      <c r="C56" s="87" t="s">
        <v>100</v>
      </c>
      <c r="D56" s="56"/>
      <c r="E56" s="56"/>
      <c r="F56" s="56"/>
      <c r="G56" s="263">
        <f>IF($W$12="Tier",IF(VLOOKUP($F$3,Data!$A$33:$CN$78,Data!BQ$32,FALSE)=1,VLOOKUP($F$3,Data!$A$33:$CN$78,Data!CE$32,FALSE),VLOOKUP($F$3,Data!$A$33:$CN$78,Data!CJ$32,FALSE)),IF(VLOOKUP($F$3,Data!$A$33:$CN$78,Data!BQ$32,FALSE)=1,VLOOKUP($F$3,Data!$A$33:$CN$78,Data!$K$32,FALSE),VLOOKUP($F$3,Data!$A$33:$CN$78,Data!$N$32,FALSE)))</f>
        <v>0.10590000000000001</v>
      </c>
      <c r="H56" s="263"/>
      <c r="I56" s="263">
        <f>IF($W$12="Tier",IF(VLOOKUP($F$3,Data!$A$33:$CN$78,Data!BQ$32,FALSE) = 1,VLOOKUP($F$3,Data!$A$33:$CN$78,Data!CF$32,FALSE),VLOOKUP($F$3,Data!$A$33:$CN$78,Data!CK$32,FALSE)),IF(VLOOKUP($F$3,Data!$A$33:$CN$78,Data!BQ$32,FALSE) = 1,VLOOKUP($F$3,Data!$A$33:$CN$78,Data!$L$32,FALSE),VLOOKUP($F$3,Data!$A$33:$CN$78,Data!$O$32,FALSE)))</f>
        <v>0</v>
      </c>
      <c r="J56" s="263"/>
      <c r="K56" s="263">
        <f>IF($W$12="Tier",IF(VLOOKUP($F$3,Data!$A$33:$CN$78,Data!BQ$32,FALSE) = 1,VLOOKUP($F$3,Data!$A$33:$CN$78,Data!CG$32,FALSE),VLOOKUP($F$3,Data!$A$33:$CN$78,Data!CL$32,FALSE)),IF(VLOOKUP($F$3,Data!$A$33:$CN$78,Data!BQ$32,FALSE) = 1,VLOOKUP($F$3,Data!$A$33:$CN$78,Data!$M$32,FALSE),VLOOKUP($F$3,Data!$A$33:$CN$78,Data!$P$32,FALSE)))</f>
        <v>8.4400000000000003E-2</v>
      </c>
      <c r="L56" s="263"/>
      <c r="M56" s="266"/>
      <c r="N56" s="266"/>
      <c r="O56" s="6"/>
      <c r="P56" s="6"/>
      <c r="Q56" s="56" t="str">
        <f>IF($W48="Subscription","Subscription Rate ($/kW)","Demand Rate ($/kW)")</f>
        <v>Demand Rate ($/kW)</v>
      </c>
      <c r="R56" s="56"/>
      <c r="S56" s="56"/>
      <c r="T56" s="263" t="str">
        <f>IF(ISNUMBER(FIND("SDG&amp;E AL-TOU2",$F$3)),19.7,"")</f>
        <v/>
      </c>
      <c r="U56" s="263"/>
      <c r="V56" s="263">
        <f>IF(VLOOKUP($F$3,Data!$A$33:$CN$78,Data!BQ$32,FALSE) = 1,VLOOKUP($F$3,Data!$A$33:$CN$78,Data!$C$32,FALSE),VLOOKUP($F$3,Data!$A$33:$CN$78,Data!$G$32,FALSE))</f>
        <v>3.8</v>
      </c>
      <c r="W56" s="263"/>
      <c r="X56" s="263">
        <f>IF(VLOOKUP($F$3,Data!$A$33:$CN$78,Data!BQ$32,FALSE) = 1,VLOOKUP($F$3,Data!$A$33:$CN$78,Data!$D$32,FALSE),VLOOKUP($F$3,Data!$A$33:$CN$78,Data!$H$32,FALSE))</f>
        <v>0</v>
      </c>
      <c r="Y56" s="263"/>
      <c r="Z56" s="263">
        <f>IF(VLOOKUP($F$3,Data!$A$33:$CN$78,Data!BQ$32,FALSE) = 1,VLOOKUP($F$3,Data!$A$33:$CN$78,Data!$E$32,FALSE),VLOOKUP($F$3,Data!$A$33:$CN$78,Data!$I$32,FALSE))</f>
        <v>0</v>
      </c>
      <c r="AA56" s="263"/>
      <c r="AB56" s="263">
        <f>IF(VLOOKUP($F$3,Data!$A$33:$CN$78,Data!BQ$32,FALSE) = 1,VLOOKUP($F$3,Data!$A$33:$CN$78,Data!$F$32,FALSE),VLOOKUP($F$3,Data!$A$33:$CN$78,Data!$J$32,FALSE))</f>
        <v>0</v>
      </c>
      <c r="AC56" s="263"/>
      <c r="AD56" s="56"/>
      <c r="AE56" s="56"/>
      <c r="AF56" s="189"/>
    </row>
    <row r="57" spans="2:39" ht="15.75" hidden="1" outlineLevel="1" x14ac:dyDescent="0.25">
      <c r="B57" s="187"/>
      <c r="C57" s="92" t="s">
        <v>102</v>
      </c>
      <c r="D57" s="76"/>
      <c r="E57" s="76"/>
      <c r="F57" s="76"/>
      <c r="G57" s="270">
        <f>+G55*G56</f>
        <v>0</v>
      </c>
      <c r="H57" s="270"/>
      <c r="I57" s="269">
        <f>+I55*I56</f>
        <v>0</v>
      </c>
      <c r="J57" s="269"/>
      <c r="K57" s="270">
        <f>+K55*K56</f>
        <v>4051.2000000000003</v>
      </c>
      <c r="L57" s="270"/>
      <c r="M57" s="270">
        <f>SUM(G57:L57)</f>
        <v>4051.2000000000003</v>
      </c>
      <c r="N57" s="270"/>
      <c r="O57" s="6"/>
      <c r="P57" s="6"/>
      <c r="Q57" s="6" t="str">
        <f>IF($W48="Subscription","Subscription Fee","Demand Charge")</f>
        <v>Demand Charge</v>
      </c>
      <c r="R57" s="72"/>
      <c r="S57" s="72"/>
      <c r="T57" s="287" t="str">
        <f>IF(ISNUMBER(FIND("SDG&amp;E AL-TOU2",$F$3)),$T55*$T56,"")</f>
        <v/>
      </c>
      <c r="U57" s="287"/>
      <c r="V57" s="293">
        <f>+V55*V56</f>
        <v>938.59999999999991</v>
      </c>
      <c r="W57" s="293"/>
      <c r="X57" s="293">
        <f>+X55*X56</f>
        <v>0</v>
      </c>
      <c r="Y57" s="293"/>
      <c r="Z57" s="293">
        <f>+Z55*Z56</f>
        <v>0</v>
      </c>
      <c r="AA57" s="293"/>
      <c r="AB57" s="293">
        <f>+AB55*AB56</f>
        <v>0</v>
      </c>
      <c r="AC57" s="293"/>
      <c r="AD57" s="293">
        <f>SUM(T57:AC57)</f>
        <v>938.59999999999991</v>
      </c>
      <c r="AE57" s="293"/>
      <c r="AF57" s="189"/>
    </row>
    <row r="58" spans="2:39" s="6" customFormat="1" ht="15.75" hidden="1" outlineLevel="1" x14ac:dyDescent="0.25">
      <c r="B58" s="190"/>
      <c r="C58" s="174"/>
      <c r="D58" s="175"/>
      <c r="E58" s="175"/>
      <c r="F58" s="175"/>
      <c r="G58" s="176"/>
      <c r="H58" s="176"/>
      <c r="I58" s="176"/>
      <c r="J58" s="176"/>
      <c r="K58" s="176"/>
      <c r="L58" s="176"/>
      <c r="M58" s="176"/>
      <c r="N58" s="176"/>
      <c r="O58" s="177"/>
      <c r="P58" s="177"/>
      <c r="Q58" s="177"/>
      <c r="R58" s="177"/>
      <c r="S58" s="177"/>
      <c r="T58" s="177"/>
      <c r="U58" s="177"/>
      <c r="V58" s="178"/>
      <c r="W58" s="178"/>
      <c r="X58" s="178"/>
      <c r="Y58" s="178"/>
      <c r="Z58" s="178"/>
      <c r="AA58" s="178"/>
      <c r="AB58" s="178"/>
      <c r="AC58" s="178"/>
      <c r="AD58" s="178"/>
      <c r="AE58" s="178"/>
      <c r="AF58" s="191"/>
      <c r="AG58" s="70"/>
      <c r="AH58" s="70"/>
      <c r="AK58" s="180"/>
    </row>
    <row r="59" spans="2:39" s="6" customFormat="1" ht="15.75" collapsed="1" x14ac:dyDescent="0.25">
      <c r="B59" s="192" t="s">
        <v>168</v>
      </c>
      <c r="E59" s="165" t="s">
        <v>172</v>
      </c>
      <c r="F59" s="167">
        <v>80</v>
      </c>
      <c r="G59" s="169" t="s">
        <v>173</v>
      </c>
      <c r="I59" s="165" t="s">
        <v>222</v>
      </c>
      <c r="J59" s="294" t="s">
        <v>367</v>
      </c>
      <c r="K59" s="294"/>
      <c r="L59" s="294"/>
      <c r="N59" s="165" t="s">
        <v>205</v>
      </c>
      <c r="O59" s="170">
        <v>0.9</v>
      </c>
      <c r="P59" s="168" t="s">
        <v>206</v>
      </c>
      <c r="R59" s="76"/>
      <c r="S59" s="72"/>
      <c r="T59" s="72"/>
      <c r="U59" s="72"/>
      <c r="V59" s="171" t="str">
        <f>+"May Monthly Bill (with taxes/fees) = "</f>
        <v xml:space="preserve">May Monthly Bill (with taxes/fees) = </v>
      </c>
      <c r="W59" s="172">
        <f>(AD69+M69+VLOOKUP($F$3,Data!$A$33:$CA$78,2))*(1+$F$8)</f>
        <v>5389.7736999999997</v>
      </c>
      <c r="X59" s="72"/>
      <c r="Y59" s="68"/>
      <c r="Z59" s="68"/>
      <c r="AA59" s="239"/>
      <c r="AB59" s="239" t="str">
        <f>"Cost = $"&amp;FIXED(W59/M67,2) &amp; "/kWh"</f>
        <v>Cost = $0.11/kWh</v>
      </c>
      <c r="AC59" s="222" t="s">
        <v>344</v>
      </c>
      <c r="AD59" s="173" t="str">
        <f>"$"&amp; FIXED(W59*O59/M67,2)&amp;"/mi."</f>
        <v>$0.10/mi.</v>
      </c>
      <c r="AE59" s="72"/>
      <c r="AF59" s="189"/>
      <c r="AG59" s="70"/>
      <c r="AH59" s="181"/>
      <c r="AI59" s="182"/>
      <c r="AK59" s="183"/>
      <c r="AL59" s="182"/>
    </row>
    <row r="60" spans="2:39" s="138" customFormat="1" hidden="1" outlineLevel="1" x14ac:dyDescent="0.2">
      <c r="B60" s="186" t="s">
        <v>122</v>
      </c>
      <c r="C60" s="240">
        <f>ROUND(2*$E60/$G60,1)/2</f>
        <v>0.55000000000000004</v>
      </c>
      <c r="D60" s="156" t="s">
        <v>120</v>
      </c>
      <c r="E60" s="245">
        <f>+$O59*$F59*$M60/($F$7*$Q60)</f>
        <v>4.2105263157894735</v>
      </c>
      <c r="F60" s="156" t="s">
        <v>119</v>
      </c>
      <c r="G60" s="246">
        <f>+VLOOKUP($J59,Data!$Q$9:$BQ$17,Data!$BP$8,FALSE)</f>
        <v>8</v>
      </c>
      <c r="H60" s="143" t="s">
        <v>116</v>
      </c>
      <c r="I60" s="155">
        <f>IF(VLOOKUP($F$4,Data!$G$9:$L$16,Data!$L$8,FALSE)&lt;1,VLOOKUP($F$4,Data!$G$9:$L$16,Data!$L$8,FALSE),1)</f>
        <v>1</v>
      </c>
      <c r="J60" s="143" t="s">
        <v>117</v>
      </c>
      <c r="K60" s="240">
        <f>IF(VLOOKUP($F$4,Data!$G$9:$L$16,Data!$L$8,FALSE)="software",IF($C60&gt;0.75,1,$C60+0.1),1)</f>
        <v>0.65</v>
      </c>
      <c r="L60" s="143" t="s">
        <v>109</v>
      </c>
      <c r="M60" s="246">
        <f>+VLOOKUP($F$4,Data!$G$9:$L$16,Data!$I$8)</f>
        <v>1</v>
      </c>
      <c r="N60" s="143" t="s">
        <v>108</v>
      </c>
      <c r="O60" s="247">
        <f>INT($F$6/$M60)+IF(($F$6/$M60-INT($F$6/$M60))&gt;0,1,0)</f>
        <v>20</v>
      </c>
      <c r="P60" s="143" t="s">
        <v>121</v>
      </c>
      <c r="Q60" s="143">
        <f>VLOOKUP($F$5,Data!$A$9:$C$19,Data!$B$8,FALSE)</f>
        <v>19</v>
      </c>
      <c r="R60" s="144" t="s">
        <v>25</v>
      </c>
      <c r="S60" s="247">
        <f>VLOOKUP($F$3,Data!$A$33:$CN$78,Data!$CB$32,FALSE)</f>
        <v>300</v>
      </c>
      <c r="T60" s="144" t="s">
        <v>26</v>
      </c>
      <c r="U60" s="247">
        <f>IF(VLOOKUP($F$3,Data!$A$33:$CN$78,Data!$CC$32)="N/A",10000000,VLOOKUP($F$3,Data!$A$33:$CN$78,Data!$CC$32,FALSE))</f>
        <v>500</v>
      </c>
      <c r="V60" s="144" t="s">
        <v>40</v>
      </c>
      <c r="W60" s="158" t="str">
        <f>VLOOKUP($F$3,Data!$A$33:$CN$78,Data!CD$32,FALSE)</f>
        <v>TOU</v>
      </c>
      <c r="X60" s="157" t="s">
        <v>144</v>
      </c>
      <c r="Y60" s="248">
        <f>VLOOKUP($F$3,Data!$A$33:$CN$78,Data!$BZ$32)</f>
        <v>3</v>
      </c>
      <c r="Z60" s="144"/>
      <c r="AA60" s="144"/>
      <c r="AB60" s="144"/>
      <c r="AC60" s="144"/>
      <c r="AD60" s="144"/>
      <c r="AE60" s="144"/>
      <c r="AF60" s="255"/>
      <c r="AG60" s="140"/>
      <c r="AH60" s="140"/>
      <c r="AI60" s="137"/>
      <c r="AK60" s="139"/>
      <c r="AL60" s="141"/>
      <c r="AM60" s="141"/>
    </row>
    <row r="61" spans="2:39" ht="15.75" hidden="1" outlineLevel="1" x14ac:dyDescent="0.25">
      <c r="B61" s="187"/>
      <c r="C61" s="130" t="s">
        <v>222</v>
      </c>
      <c r="D61" s="65"/>
      <c r="E61" s="65"/>
      <c r="F61" s="6"/>
      <c r="G61" s="6"/>
      <c r="H61" s="66" t="s">
        <v>74</v>
      </c>
      <c r="I61" s="66" t="s">
        <v>75</v>
      </c>
      <c r="J61" s="66" t="s">
        <v>76</v>
      </c>
      <c r="K61" s="66" t="s">
        <v>77</v>
      </c>
      <c r="L61" s="66" t="s">
        <v>78</v>
      </c>
      <c r="M61" s="66" t="s">
        <v>79</v>
      </c>
      <c r="N61" s="66" t="s">
        <v>80</v>
      </c>
      <c r="O61" s="66" t="s">
        <v>81</v>
      </c>
      <c r="P61" s="66" t="s">
        <v>82</v>
      </c>
      <c r="Q61" s="66" t="s">
        <v>83</v>
      </c>
      <c r="R61" s="66" t="s">
        <v>84</v>
      </c>
      <c r="S61" s="66" t="s">
        <v>85</v>
      </c>
      <c r="T61" s="66" t="s">
        <v>86</v>
      </c>
      <c r="U61" s="66" t="s">
        <v>87</v>
      </c>
      <c r="V61" s="66" t="s">
        <v>88</v>
      </c>
      <c r="W61" s="66" t="s">
        <v>89</v>
      </c>
      <c r="X61" s="66" t="s">
        <v>90</v>
      </c>
      <c r="Y61" s="66" t="s">
        <v>91</v>
      </c>
      <c r="Z61" s="66" t="s">
        <v>92</v>
      </c>
      <c r="AA61" s="66" t="s">
        <v>93</v>
      </c>
      <c r="AB61" s="66" t="s">
        <v>94</v>
      </c>
      <c r="AC61" s="66" t="s">
        <v>95</v>
      </c>
      <c r="AD61" s="66" t="s">
        <v>96</v>
      </c>
      <c r="AE61" s="66" t="s">
        <v>97</v>
      </c>
      <c r="AF61" s="188"/>
      <c r="AI61" s="23"/>
      <c r="AJ61" s="23"/>
      <c r="AK61" s="102"/>
    </row>
    <row r="62" spans="2:39" ht="15.75" hidden="1" outlineLevel="1" x14ac:dyDescent="0.25">
      <c r="B62" s="187"/>
      <c r="C62" s="295" t="str">
        <f>J59</f>
        <v>Late Evening (10p-6a)</v>
      </c>
      <c r="D62" s="296"/>
      <c r="E62" s="296"/>
      <c r="F62" s="296"/>
      <c r="G62" s="297"/>
      <c r="H62" s="151">
        <f>$I60*$K60*VLOOKUP($C62,Data!$Q$9:$BO$17,Data!T$8,FALSE)</f>
        <v>0</v>
      </c>
      <c r="I62" s="151">
        <f>$I60*$K60*VLOOKUP($C62,Data!$Q$9:$BO$17,Data!U$8,FALSE)</f>
        <v>0</v>
      </c>
      <c r="J62" s="151">
        <f>$I60*$K60*VLOOKUP($C62,Data!$Q$9:$BO$17,Data!V$8,FALSE)</f>
        <v>0</v>
      </c>
      <c r="K62" s="151">
        <f>$I60*$K60*VLOOKUP($C62,Data!$Q$9:$BO$17,Data!W$8,FALSE)</f>
        <v>0</v>
      </c>
      <c r="L62" s="151">
        <f>$I60*$K60*VLOOKUP($C62,Data!$Q$9:$BO$17,Data!X$8,FALSE)</f>
        <v>0</v>
      </c>
      <c r="M62" s="151">
        <f>$I60*$K60*VLOOKUP($C62,Data!$Q$9:$BO$17,Data!Y$8,FALSE)</f>
        <v>0</v>
      </c>
      <c r="N62" s="151">
        <f>$I60*$K60*VLOOKUP($C62,Data!$Q$9:$BO$17,Data!Z$8,FALSE)</f>
        <v>0</v>
      </c>
      <c r="O62" s="151">
        <f>$I60*$K60*VLOOKUP($C62,Data!$Q$9:$BO$17,Data!AA$8,FALSE)</f>
        <v>0</v>
      </c>
      <c r="P62" s="151">
        <f>$I60*$K60*VLOOKUP($C62,Data!$Q$9:$BO$17,Data!AB$8,FALSE)</f>
        <v>0</v>
      </c>
      <c r="Q62" s="151">
        <f>$I60*$K60*VLOOKUP($C62,Data!$Q$9:$BO$17,Data!AC$8,FALSE)</f>
        <v>0</v>
      </c>
      <c r="R62" s="151">
        <f>$I60*$K60*VLOOKUP($C62,Data!$Q$9:$BO$17,Data!AD$8,FALSE)</f>
        <v>0.65</v>
      </c>
      <c r="S62" s="151">
        <f>$I60*$K60*VLOOKUP($C62,Data!$Q$9:$BO$17,Data!AE$8,FALSE)</f>
        <v>0.65</v>
      </c>
      <c r="T62" s="151">
        <f>$I60*$K60*VLOOKUP($C62,Data!$Q$9:$BO$17,Data!AF$8,FALSE)</f>
        <v>0.65</v>
      </c>
      <c r="U62" s="151">
        <f>$I60*$K60*VLOOKUP($C62,Data!$Q$9:$BO$17,Data!AG$8,FALSE)</f>
        <v>0.65</v>
      </c>
      <c r="V62" s="151">
        <f>$I60*$K60*VLOOKUP($C62,Data!$Q$9:$BO$17,Data!AH$8,FALSE)</f>
        <v>0.65</v>
      </c>
      <c r="W62" s="151">
        <f>$I60*$K60*VLOOKUP($C62,Data!$Q$9:$BO$17,Data!AI$8,FALSE)</f>
        <v>0.65</v>
      </c>
      <c r="X62" s="151">
        <f>$I60*$K60*VLOOKUP($C62,Data!$Q$9:$BO$17,Data!AJ$8,FALSE)</f>
        <v>0.65</v>
      </c>
      <c r="Y62" s="151">
        <f>$I60*$K60*VLOOKUP($C62,Data!$Q$9:$BO$17,Data!AK$8,FALSE)</f>
        <v>0.65</v>
      </c>
      <c r="Z62" s="151">
        <f>$I60*$K60*VLOOKUP($C62,Data!$Q$9:$BO$17,Data!AL$8,FALSE)</f>
        <v>0</v>
      </c>
      <c r="AA62" s="151">
        <f>$I60*$K60*VLOOKUP($C62,Data!$Q$9:$BO$17,Data!AM$8,FALSE)</f>
        <v>0</v>
      </c>
      <c r="AB62" s="151">
        <f>$I60*$K60*VLOOKUP($C62,Data!$Q$9:$BO$17,Data!AN$8,FALSE)</f>
        <v>0</v>
      </c>
      <c r="AC62" s="151">
        <f>$I60*$K60*VLOOKUP($C62,Data!$Q$9:$BO$17,Data!AO$8,FALSE)</f>
        <v>0</v>
      </c>
      <c r="AD62" s="151">
        <f>$I60*$K60*VLOOKUP($C62,Data!$Q$9:$BO$17,Data!AP$8,FALSE)</f>
        <v>0</v>
      </c>
      <c r="AE62" s="151">
        <f>$I60*$K60*VLOOKUP($C62,Data!$Q$9:$BO$17,Data!AQ$8,FALSE)</f>
        <v>0</v>
      </c>
      <c r="AF62" s="189"/>
      <c r="AI62" s="68"/>
    </row>
    <row r="63" spans="2:39" ht="15.75" hidden="1" outlineLevel="1" x14ac:dyDescent="0.25">
      <c r="B63" s="187"/>
      <c r="C63" s="126" t="s">
        <v>184</v>
      </c>
      <c r="D63" s="6"/>
      <c r="E63" s="6"/>
      <c r="F63" s="6"/>
      <c r="G63" s="6"/>
      <c r="H63" s="133" t="str">
        <f>IF(VLOOKUP($F$3,Data!$A$33:$BY$78,Data!$BR$32,FALSE)=1,VLOOKUP($F$3,Data!$A$33:$BM$78,Data!R$32,FALSE),VLOOKUP($F$3,Data!$A$33:$BM$78,Data!AP$32,FALSE))</f>
        <v>m</v>
      </c>
      <c r="I63" s="133" t="str">
        <f>IF(VLOOKUP($F$3,Data!$A$33:$BY$78,Data!$BR$32,FALSE)=1,VLOOKUP($F$3,Data!$A$33:$BM$78,Data!S$32,FALSE),VLOOKUP($F$3,Data!$A$33:$BM$78,Data!AQ$32,FALSE))</f>
        <v>m</v>
      </c>
      <c r="J63" s="133" t="str">
        <f>IF(VLOOKUP($F$3,Data!$A$33:$BY$78,Data!$BR$32,FALSE)=1,VLOOKUP($F$3,Data!$A$33:$BM$78,Data!T$32,FALSE),VLOOKUP($F$3,Data!$A$33:$BM$78,Data!AR$32,FALSE))</f>
        <v>m</v>
      </c>
      <c r="K63" s="133" t="str">
        <f>IF(VLOOKUP($F$3,Data!$A$33:$BY$78,Data!$BR$32,FALSE)=1,VLOOKUP($F$3,Data!$A$33:$BM$78,Data!U$32,FALSE),VLOOKUP($F$3,Data!$A$33:$BM$78,Data!AS$32,FALSE))</f>
        <v>m</v>
      </c>
      <c r="L63" s="133" t="str">
        <f>IF(VLOOKUP($F$3,Data!$A$33:$BY$78,Data!$BR$32,FALSE)=1,VLOOKUP($F$3,Data!$A$33:$BM$78,Data!V$32,FALSE),VLOOKUP($F$3,Data!$A$33:$BM$78,Data!AT$32,FALSE))</f>
        <v>m</v>
      </c>
      <c r="M63" s="133" t="str">
        <f>IF(VLOOKUP($F$3,Data!$A$33:$BY$78,Data!$BR$32,FALSE)=1,VLOOKUP($F$3,Data!$A$33:$BM$78,Data!W$32,FALSE),VLOOKUP($F$3,Data!$A$33:$BM$78,Data!AU$32,FALSE))</f>
        <v>m</v>
      </c>
      <c r="N63" s="133" t="str">
        <f>IF(VLOOKUP($F$3,Data!$A$33:$BY$78,Data!$BR$32,FALSE)=1,VLOOKUP($F$3,Data!$A$33:$BM$78,Data!X$32,FALSE),VLOOKUP($F$3,Data!$A$33:$BM$78,Data!AV$32,FALSE))</f>
        <v>m</v>
      </c>
      <c r="O63" s="133" t="str">
        <f>IF(VLOOKUP($F$3,Data!$A$33:$BY$78,Data!$BR$32,FALSE)=1,VLOOKUP($F$3,Data!$A$33:$BM$78,Data!Y$32,FALSE),VLOOKUP($F$3,Data!$A$33:$BM$78,Data!AW$32,FALSE))</f>
        <v>m</v>
      </c>
      <c r="P63" s="133" t="str">
        <f>IF(VLOOKUP($F$3,Data!$A$33:$BY$78,Data!$BR$32,FALSE)=1,VLOOKUP($F$3,Data!$A$33:$BM$78,Data!Z$32,FALSE),VLOOKUP($F$3,Data!$A$33:$BM$78,Data!AX$32,FALSE))</f>
        <v>m</v>
      </c>
      <c r="Q63" s="133" t="str">
        <f>IF(VLOOKUP($F$3,Data!$A$33:$BY$78,Data!$BR$32,FALSE)=1,VLOOKUP($F$3,Data!$A$33:$BM$78,Data!AA$32,FALSE),VLOOKUP($F$3,Data!$A$33:$BM$78,Data!AY$32,FALSE))</f>
        <v>m</v>
      </c>
      <c r="R63" s="133" t="str">
        <f>IF(VLOOKUP($F$3,Data!$A$33:$BY$78,Data!$BR$32,FALSE)=1,VLOOKUP($F$3,Data!$A$33:$BM$78,Data!AB$32,FALSE),VLOOKUP($F$3,Data!$A$33:$BM$78,Data!AZ$32,FALSE))</f>
        <v>o</v>
      </c>
      <c r="S63" s="133" t="str">
        <f>IF(VLOOKUP($F$3,Data!$A$33:$BY$78,Data!$BR$32,FALSE)=1,VLOOKUP($F$3,Data!$A$33:$BM$78,Data!AC$32,FALSE),VLOOKUP($F$3,Data!$A$33:$BM$78,Data!BA$32,FALSE))</f>
        <v>o</v>
      </c>
      <c r="T63" s="133" t="str">
        <f>IF(VLOOKUP($F$3,Data!$A$33:$BY$78,Data!$BR$32,FALSE)=1,VLOOKUP($F$3,Data!$A$33:$BM$78,Data!AD$32,FALSE),VLOOKUP($F$3,Data!$A$33:$BM$78,Data!BB$32,FALSE))</f>
        <v>o</v>
      </c>
      <c r="U63" s="133" t="str">
        <f>IF(VLOOKUP($F$3,Data!$A$33:$BY$78,Data!$BR$32,FALSE)=1,VLOOKUP($F$3,Data!$A$33:$BM$78,Data!AE$32,FALSE),VLOOKUP($F$3,Data!$A$33:$BM$78,Data!BC$32,FALSE))</f>
        <v>o</v>
      </c>
      <c r="V63" s="133" t="str">
        <f>IF(VLOOKUP($F$3,Data!$A$33:$BY$78,Data!$BR$32,FALSE)=1,VLOOKUP($F$3,Data!$A$33:$BM$78,Data!AF$32,FALSE),VLOOKUP($F$3,Data!$A$33:$BM$78,Data!BD$32,FALSE))</f>
        <v>o</v>
      </c>
      <c r="W63" s="133" t="str">
        <f>IF(VLOOKUP($F$3,Data!$A$33:$BY$78,Data!$BR$32,FALSE)=1,VLOOKUP($F$3,Data!$A$33:$BM$78,Data!AG$32,FALSE),VLOOKUP($F$3,Data!$A$33:$BM$78,Data!BE$32,FALSE))</f>
        <v>o</v>
      </c>
      <c r="X63" s="133" t="str">
        <f>IF(VLOOKUP($F$3,Data!$A$33:$BY$78,Data!$BR$32,FALSE)=1,VLOOKUP($F$3,Data!$A$33:$BM$78,Data!AH$32,FALSE),VLOOKUP($F$3,Data!$A$33:$BM$78,Data!BF$32,FALSE))</f>
        <v>o</v>
      </c>
      <c r="Y63" s="133" t="str">
        <f>IF(VLOOKUP($F$3,Data!$A$33:$BY$78,Data!$BR$32,FALSE)=1,VLOOKUP($F$3,Data!$A$33:$BM$78,Data!AI$32,FALSE),VLOOKUP($F$3,Data!$A$33:$BM$78,Data!BG$32,FALSE))</f>
        <v>o</v>
      </c>
      <c r="Z63" s="133" t="str">
        <f>IF(VLOOKUP($F$3,Data!$A$33:$BY$78,Data!$BR$32,FALSE)=1,VLOOKUP($F$3,Data!$A$33:$BM$78,Data!AJ$32,FALSE),VLOOKUP($F$3,Data!$A$33:$BM$78,Data!BH$32,FALSE))</f>
        <v>o</v>
      </c>
      <c r="AA63" s="133" t="str">
        <f>IF(VLOOKUP($F$3,Data!$A$33:$BY$78,Data!$BR$32,FALSE)=1,VLOOKUP($F$3,Data!$A$33:$BM$78,Data!AK$32,FALSE),VLOOKUP($F$3,Data!$A$33:$BM$78,Data!BI$32,FALSE))</f>
        <v>o</v>
      </c>
      <c r="AB63" s="133" t="str">
        <f>IF(VLOOKUP($F$3,Data!$A$33:$BY$78,Data!$BR$32,FALSE)=1,VLOOKUP($F$3,Data!$A$33:$BM$78,Data!AL$32,FALSE),VLOOKUP($F$3,Data!$A$33:$BM$78,Data!BJ$32,FALSE))</f>
        <v>o</v>
      </c>
      <c r="AC63" s="133" t="str">
        <f>IF(VLOOKUP($F$3,Data!$A$33:$BY$78,Data!$BR$32,FALSE)=1,VLOOKUP($F$3,Data!$A$33:$BM$78,Data!AM$32,FALSE),VLOOKUP($F$3,Data!$A$33:$BM$78,Data!BK$32,FALSE))</f>
        <v>o</v>
      </c>
      <c r="AD63" s="133" t="str">
        <f>IF(VLOOKUP($F$3,Data!$A$33:$BY$78,Data!$BR$32,FALSE)=1,VLOOKUP($F$3,Data!$A$33:$BM$78,Data!AN$32,FALSE),VLOOKUP($F$3,Data!$A$33:$BM$78,Data!BL$32,FALSE))</f>
        <v>o</v>
      </c>
      <c r="AE63" s="133" t="str">
        <f>IF(VLOOKUP($F$3,Data!$A$33:$BY$78,Data!$BR$32,FALSE)=1,VLOOKUP($F$3,Data!$A$33:$BM$78,Data!AO$32,FALSE),VLOOKUP($F$3,Data!$A$33:$BM$78,Data!BM$32,FALSE))</f>
        <v>o</v>
      </c>
      <c r="AF63" s="189"/>
      <c r="AI63" s="23"/>
      <c r="AJ63" s="23"/>
      <c r="AK63" s="102"/>
    </row>
    <row r="64" spans="2:39" ht="15.75" hidden="1" outlineLevel="1" x14ac:dyDescent="0.25">
      <c r="B64" s="187"/>
      <c r="C64" s="126"/>
      <c r="D64" s="6"/>
      <c r="E64" s="6"/>
      <c r="F64" s="6"/>
      <c r="G64" s="6"/>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89"/>
      <c r="AI64" s="23"/>
      <c r="AJ64" s="23"/>
      <c r="AK64" s="102"/>
    </row>
    <row r="65" spans="2:39" ht="16.5" hidden="1" outlineLevel="1" thickBot="1" x14ac:dyDescent="0.3">
      <c r="B65" s="187"/>
      <c r="C65" s="73" t="s">
        <v>185</v>
      </c>
      <c r="D65" s="73"/>
      <c r="E65" s="73"/>
      <c r="F65" s="73"/>
      <c r="G65" s="259" t="str">
        <f>IF($W$12="Tier","Tier 1","On-Peak")</f>
        <v>On-Peak</v>
      </c>
      <c r="H65" s="259"/>
      <c r="I65" s="259" t="str">
        <f>IF($W$12="Tier","Tier 2","Mid-Peak")</f>
        <v>Mid-Peak</v>
      </c>
      <c r="J65" s="259"/>
      <c r="K65" s="259" t="str">
        <f>IF($W$12="Tier","Tier 3","Off-Peak")</f>
        <v>Off-Peak</v>
      </c>
      <c r="L65" s="259"/>
      <c r="M65" s="259" t="s">
        <v>12</v>
      </c>
      <c r="N65" s="259"/>
      <c r="O65" s="6"/>
      <c r="P65" s="6"/>
      <c r="Q65" s="243" t="str">
        <f>IF($W12="Subscription","May Subscription","May Demand")</f>
        <v>May Demand</v>
      </c>
      <c r="R65" s="243"/>
      <c r="S65" s="236"/>
      <c r="T65" s="259" t="str">
        <f>IF(ISNUMBER(FIND("SDG&amp;E AL-TOU2",$F$3)),"TOU Demand","")</f>
        <v/>
      </c>
      <c r="U65" s="259"/>
      <c r="V65" s="259" t="str">
        <f>IF($W60="Subscription","Subscription","Maximum")</f>
        <v>Maximum</v>
      </c>
      <c r="W65" s="259"/>
      <c r="X65" s="259" t="s">
        <v>60</v>
      </c>
      <c r="Y65" s="259"/>
      <c r="Z65" s="259" t="s">
        <v>61</v>
      </c>
      <c r="AA65" s="259"/>
      <c r="AB65" s="259" t="s">
        <v>55</v>
      </c>
      <c r="AC65" s="259"/>
      <c r="AD65" s="259" t="s">
        <v>12</v>
      </c>
      <c r="AE65" s="259"/>
      <c r="AF65" s="189"/>
    </row>
    <row r="66" spans="2:39" ht="15" hidden="1" customHeight="1" outlineLevel="1" x14ac:dyDescent="0.25">
      <c r="B66" s="187"/>
      <c r="C66" s="6" t="s">
        <v>103</v>
      </c>
      <c r="D66" s="6"/>
      <c r="E66" s="6"/>
      <c r="F66" s="6"/>
      <c r="G66" s="260">
        <f>SUMIF($H63:$AE63,"p",$H62:$AE62)/SUM($H62:$AE62)</f>
        <v>0</v>
      </c>
      <c r="H66" s="260"/>
      <c r="I66" s="260">
        <f>SUMIF($H63:$AE63,"m",$H62:$AE62)/SUM($H62:$AE62)</f>
        <v>0</v>
      </c>
      <c r="J66" s="260"/>
      <c r="K66" s="284">
        <f>SUMIF($H63:$AE63,"o",$H62:$AE62)/SUM($H62:$AE62)</f>
        <v>1</v>
      </c>
      <c r="L66" s="284"/>
      <c r="M66" s="6"/>
      <c r="N66" s="6"/>
      <c r="O66" s="6"/>
      <c r="P66" s="6"/>
      <c r="Q66" s="6" t="s">
        <v>104</v>
      </c>
      <c r="R66" s="6"/>
      <c r="S66" s="6"/>
      <c r="T66" s="291" t="str">
        <f>IF(ISNUMBER(FIND("SDG&amp;E AL-TOU2",$F$3)),MAX($X66:$AA66),"")</f>
        <v/>
      </c>
      <c r="U66" s="291"/>
      <c r="V66" s="260">
        <f>IF($W60="Subscription","",MAX($X66:$AC66))</f>
        <v>0.65</v>
      </c>
      <c r="W66" s="260"/>
      <c r="X66" s="284">
        <f t="array" ref="X66">MAX(IF($H63:$AE63="p",$H62:$AE62))</f>
        <v>0</v>
      </c>
      <c r="Y66" s="284"/>
      <c r="Z66" s="284">
        <f t="array" ref="Z66">MAX(IF($H63:$AE63="m",$H62:$AE62))</f>
        <v>0</v>
      </c>
      <c r="AA66" s="284"/>
      <c r="AB66" s="284">
        <f t="array" ref="AB66">MAX(IF($H63:$AE63="o",$H62:$AE62))</f>
        <v>0.65</v>
      </c>
      <c r="AC66" s="284"/>
      <c r="AD66" s="6"/>
      <c r="AE66" s="6"/>
      <c r="AF66" s="189"/>
    </row>
    <row r="67" spans="2:39" ht="15.75" hidden="1" outlineLevel="1" x14ac:dyDescent="0.25">
      <c r="B67" s="187"/>
      <c r="C67" s="6" t="s">
        <v>101</v>
      </c>
      <c r="D67" s="6"/>
      <c r="E67" s="6"/>
      <c r="F67" s="6"/>
      <c r="G67" s="265">
        <f>IF( $W$12="Tier",IF(OR(VLOOKUP($F$3,Data!$A$33:$CN$78,Data!CM$32,FALSE)&gt;$M67,VLOOKUP($F$3,Data!$A$33:$CN$78,Data!CM$32,FALSE)=0),$M67,VLOOKUP($F$3,Data!$A$33:$CN$78,Data!CM$32,FALSE)),$M67*$G66)</f>
        <v>0</v>
      </c>
      <c r="H67" s="265"/>
      <c r="I67" s="265">
        <f>IF(
 $W$12="Tier",
 IF(
  OR($M67&lt;VLOOKUP($F$3,Data!$A$33:$CN$78,Data!CM$32,FALSE),VLOOKUP($F$3,Data!$A$33:$CN$78,Data!CM$32,FALSE)=0),
  0,
   IF(
    OR($M67&gt;VLOOKUP($F$3,Data!$A$33:$CN$78,Data!CM$32,FALSE),VLOOKUP($F$3,Data!$A$33:$CN$78,Data!CN$32,FALSE)=0),
    $M67-VLOOKUP($F$3,Data!$A$33:$CN$78,Data!CM$32,FALSE),
    VLOOKUP($F$3,Data!$A$33:$CN$78,Data!CN$32,FALSE)-VLOOKUP($F$3,Data!$A$33:$CN$78,Data!CM$32,FALSE)
   )
 ),
 $M67*$I66)</f>
        <v>0</v>
      </c>
      <c r="J67" s="265"/>
      <c r="K67" s="265">
        <f>IF($W$12="Tier",M67-SUM(G67:J67),$M67*K66)</f>
        <v>49600</v>
      </c>
      <c r="L67" s="265"/>
      <c r="M67" s="261">
        <f>+$O$59*F59*$F$6*31/$F$7</f>
        <v>49600</v>
      </c>
      <c r="N67" s="261"/>
      <c r="O67" s="6"/>
      <c r="P67" s="6"/>
      <c r="Q67" s="6" t="s">
        <v>107</v>
      </c>
      <c r="R67" s="6"/>
      <c r="S67" s="6"/>
      <c r="T67" s="262" t="str">
        <f>IF(ISNUMBER(FIND("SDG&amp;E AL-TOU2",$F$3)),ROUND(MAX($X67:$AA67),0),"")</f>
        <v/>
      </c>
      <c r="U67" s="262"/>
      <c r="V67" s="261">
        <f>IF($W60="Subscription",$F$9,ROUND(MAX($X67:$AC67),0))</f>
        <v>247</v>
      </c>
      <c r="W67" s="262"/>
      <c r="X67" s="265">
        <f>VLOOKUP($F$5,Data!$A$9:$C$21,Data!$B$8,FALSE)*$O60*$X66</f>
        <v>0</v>
      </c>
      <c r="Y67" s="265"/>
      <c r="Z67" s="265">
        <f>VLOOKUP($F$5,Data!$A$9:$C$21,Data!$B$8,FALSE)*$O60*$Z66</f>
        <v>0</v>
      </c>
      <c r="AA67" s="265"/>
      <c r="AB67" s="265">
        <f>VLOOKUP($F$5,Data!$A$9:$C$21,Data!$B$8,FALSE)*$O60*$AB66</f>
        <v>247</v>
      </c>
      <c r="AC67" s="265"/>
      <c r="AD67" s="261"/>
      <c r="AE67" s="261"/>
      <c r="AF67" s="189"/>
    </row>
    <row r="68" spans="2:39" ht="16.5" hidden="1" outlineLevel="1" thickBot="1" x14ac:dyDescent="0.3">
      <c r="B68" s="187"/>
      <c r="C68" s="56" t="s">
        <v>100</v>
      </c>
      <c r="D68" s="56"/>
      <c r="E68" s="56"/>
      <c r="F68" s="56"/>
      <c r="G68" s="263">
        <f>IF($W$12="Tier",IF(VLOOKUP($F$3,Data!$A$33:$CN$78,Data!BR$32,FALSE)=1,VLOOKUP($F$3,Data!$A$33:$CN$78,Data!CE$32,FALSE),VLOOKUP($F$3,Data!$A$33:$CN$78,Data!CJ$32,FALSE)),IF(VLOOKUP($F$3,Data!$A$33:$CN$78,Data!BR$32,FALSE)=1,VLOOKUP($F$3,Data!$A$33:$CN$78,Data!$K$32,FALSE),VLOOKUP($F$3,Data!$A$33:$CN$78,Data!$N$32,FALSE)))</f>
        <v>0.10590000000000001</v>
      </c>
      <c r="H68" s="263"/>
      <c r="I68" s="263">
        <f>IF($W$12="Tier",IF(VLOOKUP($F$3,Data!$A$33:$CN$78,Data!BR$32,FALSE) = 1,VLOOKUP($F$3,Data!$A$33:$CN$78,Data!CF$32,FALSE),VLOOKUP($F$3,Data!$A$33:$CN$78,Data!CK$32,FALSE)),IF(VLOOKUP($F$3,Data!$A$33:$CN$78,Data!BR$32,FALSE) = 1,VLOOKUP($F$3,Data!$A$33:$CN$78,Data!$L$32,FALSE),VLOOKUP($F$3,Data!$A$33:$CN$78,Data!$O$32,FALSE)))</f>
        <v>0</v>
      </c>
      <c r="J68" s="263"/>
      <c r="K68" s="263">
        <f>IF($W$12="Tier",IF(VLOOKUP($F$3,Data!$A$33:$CN$78,Data!BR$32,FALSE) = 1,VLOOKUP($F$3,Data!$A$33:$CN$78,Data!CG$32,FALSE),VLOOKUP($F$3,Data!$A$33:$CN$78,Data!CL$32,FALSE)),IF(VLOOKUP($F$3,Data!$A$33:$CN$78,Data!BR$32,FALSE) = 1,VLOOKUP($F$3,Data!$A$33:$CN$78,Data!$M$32,FALSE),VLOOKUP($F$3,Data!$A$33:$CN$78,Data!$P$32,FALSE)))</f>
        <v>8.4400000000000003E-2</v>
      </c>
      <c r="L68" s="263"/>
      <c r="M68" s="266"/>
      <c r="N68" s="266"/>
      <c r="O68" s="6"/>
      <c r="P68" s="6"/>
      <c r="Q68" s="56" t="str">
        <f>IF($W60="Subscription","Subscription Rate ($/kW)","Demand Rate ($/kW)")</f>
        <v>Demand Rate ($/kW)</v>
      </c>
      <c r="R68" s="56"/>
      <c r="S68" s="56"/>
      <c r="T68" s="263" t="str">
        <f>IF(ISNUMBER(FIND("SDG&amp;E AL-TOU2",$F$3)),19.7,"")</f>
        <v/>
      </c>
      <c r="U68" s="263"/>
      <c r="V68" s="263">
        <f>IF(VLOOKUP($F$3,Data!$A$33:$CN$78,Data!BR$32,FALSE) = 1,VLOOKUP($F$3,Data!$A$33:$CN$78,Data!$C$32,FALSE),VLOOKUP($F$3,Data!$A$33:$CN$78,Data!$G$32,FALSE))</f>
        <v>3.8</v>
      </c>
      <c r="W68" s="263"/>
      <c r="X68" s="263">
        <f>IF(VLOOKUP($F$3,Data!$A$33:$CN$78,Data!BR$32,FALSE) = 1,VLOOKUP($F$3,Data!$A$33:$CN$78,Data!$D$32,FALSE),VLOOKUP($F$3,Data!$A$33:$CN$78,Data!$H$32,FALSE))</f>
        <v>0</v>
      </c>
      <c r="Y68" s="263"/>
      <c r="Z68" s="263">
        <f>IF(VLOOKUP($F$3,Data!$A$33:$CN$78,Data!BR$32,FALSE) = 1,VLOOKUP($F$3,Data!$A$33:$CN$78,Data!$E$32,FALSE),VLOOKUP($F$3,Data!$A$33:$CN$78,Data!$I$32,FALSE))</f>
        <v>0</v>
      </c>
      <c r="AA68" s="263"/>
      <c r="AB68" s="263">
        <f>IF(VLOOKUP($F$3,Data!$A$33:$CN$78,Data!BR$32,FALSE) = 1,VLOOKUP($F$3,Data!$A$33:$CN$78,Data!$F$32,FALSE),VLOOKUP($F$3,Data!$A$33:$CN$78,Data!$J$32,FALSE))</f>
        <v>0</v>
      </c>
      <c r="AC68" s="263"/>
      <c r="AD68" s="56"/>
      <c r="AE68" s="56"/>
      <c r="AF68" s="189"/>
    </row>
    <row r="69" spans="2:39" ht="15.75" hidden="1" outlineLevel="1" x14ac:dyDescent="0.25">
      <c r="B69" s="187"/>
      <c r="C69" s="92" t="s">
        <v>102</v>
      </c>
      <c r="D69" s="76"/>
      <c r="E69" s="76"/>
      <c r="F69" s="76"/>
      <c r="G69" s="270">
        <f>+G67*G68</f>
        <v>0</v>
      </c>
      <c r="H69" s="270"/>
      <c r="I69" s="269">
        <f>+I67*I68</f>
        <v>0</v>
      </c>
      <c r="J69" s="269"/>
      <c r="K69" s="270">
        <f>+K67*K68</f>
        <v>4186.24</v>
      </c>
      <c r="L69" s="270"/>
      <c r="M69" s="270">
        <f>SUM(G69:L69)</f>
        <v>4186.24</v>
      </c>
      <c r="N69" s="270"/>
      <c r="O69" s="6"/>
      <c r="P69" s="6"/>
      <c r="Q69" s="6" t="str">
        <f>IF($W60="Subscription","Subscription Fee","Demand Charge")</f>
        <v>Demand Charge</v>
      </c>
      <c r="R69" s="72"/>
      <c r="S69" s="72"/>
      <c r="T69" s="287" t="str">
        <f>IF(ISNUMBER(FIND("SDG&amp;E AL-TOU2",$F$3)),$T67*$T68,"")</f>
        <v/>
      </c>
      <c r="U69" s="287"/>
      <c r="V69" s="293">
        <f>+V67*V68</f>
        <v>938.59999999999991</v>
      </c>
      <c r="W69" s="293"/>
      <c r="X69" s="293">
        <f>+X67*X68</f>
        <v>0</v>
      </c>
      <c r="Y69" s="293"/>
      <c r="Z69" s="293">
        <f>+Z67*Z68</f>
        <v>0</v>
      </c>
      <c r="AA69" s="293"/>
      <c r="AB69" s="293">
        <f>+AB67*AB68</f>
        <v>0</v>
      </c>
      <c r="AC69" s="293"/>
      <c r="AD69" s="293">
        <f>SUM(T69:AC69)</f>
        <v>938.59999999999991</v>
      </c>
      <c r="AE69" s="293"/>
      <c r="AF69" s="189"/>
    </row>
    <row r="70" spans="2:39" s="6" customFormat="1" ht="15.75" hidden="1" outlineLevel="1" x14ac:dyDescent="0.25">
      <c r="B70" s="190"/>
      <c r="C70" s="174"/>
      <c r="D70" s="175"/>
      <c r="E70" s="175"/>
      <c r="F70" s="175"/>
      <c r="G70" s="176"/>
      <c r="H70" s="176"/>
      <c r="I70" s="176"/>
      <c r="J70" s="176"/>
      <c r="K70" s="176"/>
      <c r="L70" s="176"/>
      <c r="M70" s="176"/>
      <c r="N70" s="176"/>
      <c r="O70" s="177"/>
      <c r="P70" s="177"/>
      <c r="Q70" s="177"/>
      <c r="R70" s="177"/>
      <c r="S70" s="177"/>
      <c r="T70" s="177"/>
      <c r="U70" s="177"/>
      <c r="V70" s="178"/>
      <c r="W70" s="178"/>
      <c r="X70" s="178"/>
      <c r="Y70" s="178"/>
      <c r="Z70" s="178"/>
      <c r="AA70" s="178"/>
      <c r="AB70" s="178"/>
      <c r="AC70" s="178"/>
      <c r="AD70" s="178"/>
      <c r="AE70" s="178"/>
      <c r="AF70" s="191"/>
      <c r="AG70" s="70"/>
      <c r="AH70" s="70"/>
      <c r="AK70" s="180"/>
    </row>
    <row r="71" spans="2:39" s="6" customFormat="1" ht="15.75" collapsed="1" x14ac:dyDescent="0.25">
      <c r="B71" s="192" t="s">
        <v>169</v>
      </c>
      <c r="E71" s="165" t="s">
        <v>172</v>
      </c>
      <c r="F71" s="167">
        <v>80</v>
      </c>
      <c r="G71" s="169" t="s">
        <v>173</v>
      </c>
      <c r="I71" s="165" t="s">
        <v>222</v>
      </c>
      <c r="J71" s="294" t="s">
        <v>367</v>
      </c>
      <c r="K71" s="294"/>
      <c r="L71" s="294"/>
      <c r="N71" s="165" t="s">
        <v>205</v>
      </c>
      <c r="O71" s="170">
        <v>0.9</v>
      </c>
      <c r="P71" s="168" t="s">
        <v>206</v>
      </c>
      <c r="R71" s="76"/>
      <c r="S71" s="72"/>
      <c r="T71" s="72"/>
      <c r="U71" s="72"/>
      <c r="V71" s="171" t="str">
        <f>+"June Monthly Bill (with taxes/fees) = "</f>
        <v xml:space="preserve">June Monthly Bill (with taxes/fees) = </v>
      </c>
      <c r="W71" s="172">
        <f>(AD81+M81+VLOOKUP($F$3,Data!$A$33:$CA$78,2))*(1+$F$8)</f>
        <v>5250.6824999999999</v>
      </c>
      <c r="X71" s="72"/>
      <c r="Y71" s="68"/>
      <c r="Z71" s="68"/>
      <c r="AA71" s="239"/>
      <c r="AB71" s="239" t="str">
        <f>"Cost = $"&amp;FIXED(W71/M79,2) &amp; "/kWh"</f>
        <v>Cost = $0.11/kWh</v>
      </c>
      <c r="AC71" s="222" t="s">
        <v>344</v>
      </c>
      <c r="AD71" s="173" t="str">
        <f>"$"&amp; FIXED(W71*O71/M79,2)&amp;"/mi."</f>
        <v>$0.10/mi.</v>
      </c>
      <c r="AE71" s="72"/>
      <c r="AF71" s="189"/>
      <c r="AG71" s="70"/>
      <c r="AH71" s="181"/>
      <c r="AI71" s="182"/>
      <c r="AK71" s="183"/>
      <c r="AL71" s="182"/>
    </row>
    <row r="72" spans="2:39" s="138" customFormat="1" hidden="1" outlineLevel="1" x14ac:dyDescent="0.2">
      <c r="B72" s="186" t="s">
        <v>122</v>
      </c>
      <c r="C72" s="240">
        <f>ROUND(2*$E72/$G72,1)/2</f>
        <v>0.55000000000000004</v>
      </c>
      <c r="D72" s="156" t="s">
        <v>120</v>
      </c>
      <c r="E72" s="245">
        <f>+$O71*$F71*$M72/($F$7*$Q72)</f>
        <v>4.2105263157894735</v>
      </c>
      <c r="F72" s="156" t="s">
        <v>119</v>
      </c>
      <c r="G72" s="246">
        <f>+VLOOKUP($J71,Data!$Q$9:$BQ$17,Data!$BP$8,FALSE)</f>
        <v>8</v>
      </c>
      <c r="H72" s="143" t="s">
        <v>116</v>
      </c>
      <c r="I72" s="155">
        <f>IF(VLOOKUP($F$4,Data!$G$9:$L$16,Data!$L$8,FALSE)&lt;1,VLOOKUP($F$4,Data!$G$9:$L$16,Data!$L$8,FALSE),1)</f>
        <v>1</v>
      </c>
      <c r="J72" s="143" t="s">
        <v>117</v>
      </c>
      <c r="K72" s="240">
        <f>IF(VLOOKUP($F$4,Data!$G$9:$L$16,Data!$L$8,FALSE)="software",IF($C72&gt;0.75,1,$C72+0.1),1)</f>
        <v>0.65</v>
      </c>
      <c r="L72" s="143" t="s">
        <v>109</v>
      </c>
      <c r="M72" s="246">
        <f>+VLOOKUP($F$4,Data!$G$9:$L$16,Data!$I$8)</f>
        <v>1</v>
      </c>
      <c r="N72" s="143" t="s">
        <v>108</v>
      </c>
      <c r="O72" s="247">
        <f>INT($F$6/$M72)+IF(($F$6/$M72-INT($F$6/$M72))&gt;0,1,0)</f>
        <v>20</v>
      </c>
      <c r="P72" s="143" t="s">
        <v>121</v>
      </c>
      <c r="Q72" s="143">
        <f>VLOOKUP($F$5,Data!$A$9:$C$19,Data!$B$8,FALSE)</f>
        <v>19</v>
      </c>
      <c r="R72" s="144" t="s">
        <v>25</v>
      </c>
      <c r="S72" s="247">
        <f>VLOOKUP($F$3,Data!$A$33:$CN$78,Data!$CB$32,FALSE)</f>
        <v>300</v>
      </c>
      <c r="T72" s="144" t="s">
        <v>26</v>
      </c>
      <c r="U72" s="247">
        <f>IF(VLOOKUP($F$3,Data!$A$33:$CN$78,Data!$CC$32)="N/A",10000000,VLOOKUP($F$3,Data!$A$33:$CN$78,Data!$CC$32,FALSE))</f>
        <v>500</v>
      </c>
      <c r="V72" s="144" t="s">
        <v>40</v>
      </c>
      <c r="W72" s="158" t="str">
        <f>VLOOKUP($F$3,Data!$A$33:$CN$78,Data!CD$32,FALSE)</f>
        <v>TOU</v>
      </c>
      <c r="X72" s="157" t="s">
        <v>144</v>
      </c>
      <c r="Y72" s="248">
        <f>VLOOKUP($F$3,Data!$A$33:$CN$78,Data!$BZ$32)</f>
        <v>3</v>
      </c>
      <c r="Z72" s="144"/>
      <c r="AA72" s="144"/>
      <c r="AB72" s="144"/>
      <c r="AC72" s="144"/>
      <c r="AD72" s="144"/>
      <c r="AE72" s="144"/>
      <c r="AF72" s="255"/>
      <c r="AG72" s="140"/>
      <c r="AH72" s="140"/>
      <c r="AI72" s="137"/>
      <c r="AK72" s="139"/>
      <c r="AL72" s="141"/>
      <c r="AM72" s="141"/>
    </row>
    <row r="73" spans="2:39" ht="15.75" hidden="1" outlineLevel="1" x14ac:dyDescent="0.25">
      <c r="B73" s="187"/>
      <c r="C73" s="130" t="s">
        <v>222</v>
      </c>
      <c r="D73" s="65"/>
      <c r="E73" s="65"/>
      <c r="F73" s="6"/>
      <c r="G73" s="6"/>
      <c r="H73" s="66" t="s">
        <v>74</v>
      </c>
      <c r="I73" s="66" t="s">
        <v>75</v>
      </c>
      <c r="J73" s="66" t="s">
        <v>76</v>
      </c>
      <c r="K73" s="66" t="s">
        <v>77</v>
      </c>
      <c r="L73" s="153" t="s">
        <v>78</v>
      </c>
      <c r="M73" s="66" t="s">
        <v>79</v>
      </c>
      <c r="N73" s="66" t="s">
        <v>80</v>
      </c>
      <c r="O73" s="66" t="s">
        <v>81</v>
      </c>
      <c r="P73" s="66" t="s">
        <v>82</v>
      </c>
      <c r="Q73" s="66" t="s">
        <v>83</v>
      </c>
      <c r="R73" s="66" t="s">
        <v>84</v>
      </c>
      <c r="S73" s="66" t="s">
        <v>85</v>
      </c>
      <c r="T73" s="66" t="s">
        <v>86</v>
      </c>
      <c r="U73" s="66" t="s">
        <v>87</v>
      </c>
      <c r="V73" s="66" t="s">
        <v>88</v>
      </c>
      <c r="W73" s="66" t="s">
        <v>89</v>
      </c>
      <c r="X73" s="66" t="s">
        <v>90</v>
      </c>
      <c r="Y73" s="66" t="s">
        <v>91</v>
      </c>
      <c r="Z73" s="66" t="s">
        <v>92</v>
      </c>
      <c r="AA73" s="66" t="s">
        <v>93</v>
      </c>
      <c r="AB73" s="66" t="s">
        <v>94</v>
      </c>
      <c r="AC73" s="66" t="s">
        <v>95</v>
      </c>
      <c r="AD73" s="66" t="s">
        <v>96</v>
      </c>
      <c r="AE73" s="66" t="s">
        <v>97</v>
      </c>
      <c r="AF73" s="188"/>
      <c r="AI73" s="23"/>
      <c r="AJ73" s="23"/>
      <c r="AK73" s="102"/>
    </row>
    <row r="74" spans="2:39" ht="15.75" hidden="1" outlineLevel="1" x14ac:dyDescent="0.25">
      <c r="B74" s="187"/>
      <c r="C74" s="295" t="str">
        <f>J71</f>
        <v>Late Evening (10p-6a)</v>
      </c>
      <c r="D74" s="296"/>
      <c r="E74" s="296"/>
      <c r="F74" s="296"/>
      <c r="G74" s="297"/>
      <c r="H74" s="151">
        <f>$I72*$K72*VLOOKUP($C74,Data!$Q$9:$BO$17,Data!T$8,FALSE)</f>
        <v>0</v>
      </c>
      <c r="I74" s="151">
        <f>$I72*$K72*VLOOKUP($C74,Data!$Q$9:$BO$17,Data!U$8,FALSE)</f>
        <v>0</v>
      </c>
      <c r="J74" s="151">
        <f>$I72*$K72*VLOOKUP($C74,Data!$Q$9:$BO$17,Data!V$8,FALSE)</f>
        <v>0</v>
      </c>
      <c r="K74" s="151">
        <f>$I72*$K72*VLOOKUP($C74,Data!$Q$9:$BO$17,Data!W$8,FALSE)</f>
        <v>0</v>
      </c>
      <c r="L74" s="154">
        <f>$I72*$K72*VLOOKUP($C74,Data!$Q$9:$BO$17,Data!X$8,FALSE)</f>
        <v>0</v>
      </c>
      <c r="M74" s="152">
        <f>$I72*$K72*VLOOKUP($C74,Data!$Q$9:$BO$17,Data!Y$8,FALSE)</f>
        <v>0</v>
      </c>
      <c r="N74" s="151">
        <f>$I72*$K72*VLOOKUP($C74,Data!$Q$9:$BO$17,Data!Z$8,FALSE)</f>
        <v>0</v>
      </c>
      <c r="O74" s="151">
        <f>$I72*$K72*VLOOKUP($C74,Data!$Q$9:$BO$17,Data!AA$8,FALSE)</f>
        <v>0</v>
      </c>
      <c r="P74" s="151">
        <f>$I72*$K72*VLOOKUP($C74,Data!$Q$9:$BO$17,Data!AB$8,FALSE)</f>
        <v>0</v>
      </c>
      <c r="Q74" s="151">
        <f>$I72*$K72*VLOOKUP($C74,Data!$Q$9:$BO$17,Data!AC$8,FALSE)</f>
        <v>0</v>
      </c>
      <c r="R74" s="151">
        <f>$I72*$K72*VLOOKUP($C74,Data!$Q$9:$BO$17,Data!AD$8,FALSE)</f>
        <v>0.65</v>
      </c>
      <c r="S74" s="151">
        <f>$I72*$K72*VLOOKUP($C74,Data!$Q$9:$BO$17,Data!AE$8,FALSE)</f>
        <v>0.65</v>
      </c>
      <c r="T74" s="151">
        <f>$I72*$K72*VLOOKUP($C74,Data!$Q$9:$BO$17,Data!AF$8,FALSE)</f>
        <v>0.65</v>
      </c>
      <c r="U74" s="151">
        <f>$I72*$K72*VLOOKUP($C74,Data!$Q$9:$BO$17,Data!AG$8,FALSE)</f>
        <v>0.65</v>
      </c>
      <c r="V74" s="151">
        <f>$I72*$K72*VLOOKUP($C74,Data!$Q$9:$BO$17,Data!AH$8,FALSE)</f>
        <v>0.65</v>
      </c>
      <c r="W74" s="151">
        <f>$I72*$K72*VLOOKUP($C74,Data!$Q$9:$BO$17,Data!AI$8,FALSE)</f>
        <v>0.65</v>
      </c>
      <c r="X74" s="151">
        <f>$I72*$K72*VLOOKUP($C74,Data!$Q$9:$BO$17,Data!AJ$8,FALSE)</f>
        <v>0.65</v>
      </c>
      <c r="Y74" s="151">
        <f>$I72*$K72*VLOOKUP($C74,Data!$Q$9:$BO$17,Data!AK$8,FALSE)</f>
        <v>0.65</v>
      </c>
      <c r="Z74" s="151">
        <f>$I72*$K72*VLOOKUP($C74,Data!$Q$9:$BO$17,Data!AL$8,FALSE)</f>
        <v>0</v>
      </c>
      <c r="AA74" s="151">
        <f>$I72*$K72*VLOOKUP($C74,Data!$Q$9:$BO$17,Data!AM$8,FALSE)</f>
        <v>0</v>
      </c>
      <c r="AB74" s="151">
        <f>$I72*$K72*VLOOKUP($C74,Data!$Q$9:$BO$17,Data!AN$8,FALSE)</f>
        <v>0</v>
      </c>
      <c r="AC74" s="151">
        <f>$I72*$K72*VLOOKUP($C74,Data!$Q$9:$BO$17,Data!AO$8,FALSE)</f>
        <v>0</v>
      </c>
      <c r="AD74" s="151">
        <f>$I72*$K72*VLOOKUP($C74,Data!$Q$9:$BO$17,Data!AP$8,FALSE)</f>
        <v>0</v>
      </c>
      <c r="AE74" s="151">
        <f>$I72*$K72*VLOOKUP($C74,Data!$Q$9:$BO$17,Data!AQ$8,FALSE)</f>
        <v>0</v>
      </c>
      <c r="AF74" s="189"/>
      <c r="AI74" s="68"/>
    </row>
    <row r="75" spans="2:39" ht="15.75" hidden="1" outlineLevel="1" x14ac:dyDescent="0.25">
      <c r="B75" s="187"/>
      <c r="C75" s="126" t="s">
        <v>186</v>
      </c>
      <c r="D75" s="6"/>
      <c r="E75" s="6"/>
      <c r="F75" s="6"/>
      <c r="G75" s="6"/>
      <c r="H75" s="133" t="str">
        <f>IF(VLOOKUP($F$3,Data!$A$33:$BY$78,Data!$BS$32,FALSE)=1,VLOOKUP($F$3,Data!$A$33:$BM$78,Data!R$32,FALSE),VLOOKUP($F$3,Data!$A$33:$BM$78,Data!AP$32,FALSE))</f>
        <v>m</v>
      </c>
      <c r="I75" s="133" t="str">
        <f>IF(VLOOKUP($F$3,Data!$A$33:$BY$78,Data!$BS$32,FALSE)=1,VLOOKUP($F$3,Data!$A$33:$BM$78,Data!S$32,FALSE),VLOOKUP($F$3,Data!$A$33:$BM$78,Data!AQ$32,FALSE))</f>
        <v>m</v>
      </c>
      <c r="J75" s="133" t="str">
        <f>IF(VLOOKUP($F$3,Data!$A$33:$BY$78,Data!$BS$32,FALSE)=1,VLOOKUP($F$3,Data!$A$33:$BM$78,Data!T$32,FALSE),VLOOKUP($F$3,Data!$A$33:$BM$78,Data!AR$32,FALSE))</f>
        <v>m</v>
      </c>
      <c r="K75" s="133" t="str">
        <f>IF(VLOOKUP($F$3,Data!$A$33:$BY$78,Data!$BS$32,FALSE)=1,VLOOKUP($F$3,Data!$A$33:$BM$78,Data!U$32,FALSE),VLOOKUP($F$3,Data!$A$33:$BM$78,Data!AS$32,FALSE))</f>
        <v>m</v>
      </c>
      <c r="L75" s="133" t="str">
        <f>IF(VLOOKUP($F$3,Data!$A$33:$BY$78,Data!$BS$32,FALSE)=1,VLOOKUP($F$3,Data!$A$33:$BM$78,Data!V$32,FALSE),VLOOKUP($F$3,Data!$A$33:$BM$78,Data!AT$32,FALSE))</f>
        <v>m</v>
      </c>
      <c r="M75" s="133" t="str">
        <f>IF(VLOOKUP($F$3,Data!$A$33:$BY$78,Data!$BS$32,FALSE)=1,VLOOKUP($F$3,Data!$A$33:$BM$78,Data!W$32,FALSE),VLOOKUP($F$3,Data!$A$33:$BM$78,Data!AU$32,FALSE))</f>
        <v>m</v>
      </c>
      <c r="N75" s="133" t="str">
        <f>IF(VLOOKUP($F$3,Data!$A$33:$BY$78,Data!$BS$32,FALSE)=1,VLOOKUP($F$3,Data!$A$33:$BM$78,Data!X$32,FALSE),VLOOKUP($F$3,Data!$A$33:$BM$78,Data!AV$32,FALSE))</f>
        <v>m</v>
      </c>
      <c r="O75" s="133" t="str">
        <f>IF(VLOOKUP($F$3,Data!$A$33:$BY$78,Data!$BS$32,FALSE)=1,VLOOKUP($F$3,Data!$A$33:$BM$78,Data!Y$32,FALSE),VLOOKUP($F$3,Data!$A$33:$BM$78,Data!AW$32,FALSE))</f>
        <v>m</v>
      </c>
      <c r="P75" s="133" t="str">
        <f>IF(VLOOKUP($F$3,Data!$A$33:$BY$78,Data!$BS$32,FALSE)=1,VLOOKUP($F$3,Data!$A$33:$BM$78,Data!Z$32,FALSE),VLOOKUP($F$3,Data!$A$33:$BM$78,Data!AX$32,FALSE))</f>
        <v>m</v>
      </c>
      <c r="Q75" s="133" t="str">
        <f>IF(VLOOKUP($F$3,Data!$A$33:$BY$78,Data!$BS$32,FALSE)=1,VLOOKUP($F$3,Data!$A$33:$BM$78,Data!AA$32,FALSE),VLOOKUP($F$3,Data!$A$33:$BM$78,Data!AY$32,FALSE))</f>
        <v>m</v>
      </c>
      <c r="R75" s="133" t="str">
        <f>IF(VLOOKUP($F$3,Data!$A$33:$BY$78,Data!$BS$32,FALSE)=1,VLOOKUP($F$3,Data!$A$33:$BM$78,Data!AB$32,FALSE),VLOOKUP($F$3,Data!$A$33:$BM$78,Data!AZ$32,FALSE))</f>
        <v>o</v>
      </c>
      <c r="S75" s="133" t="str">
        <f>IF(VLOOKUP($F$3,Data!$A$33:$BY$78,Data!$BS$32,FALSE)=1,VLOOKUP($F$3,Data!$A$33:$BM$78,Data!AC$32,FALSE),VLOOKUP($F$3,Data!$A$33:$BM$78,Data!BA$32,FALSE))</f>
        <v>o</v>
      </c>
      <c r="T75" s="133" t="str">
        <f>IF(VLOOKUP($F$3,Data!$A$33:$BY$78,Data!$BS$32,FALSE)=1,VLOOKUP($F$3,Data!$A$33:$BM$78,Data!AD$32,FALSE),VLOOKUP($F$3,Data!$A$33:$BM$78,Data!BB$32,FALSE))</f>
        <v>o</v>
      </c>
      <c r="U75" s="133" t="str">
        <f>IF(VLOOKUP($F$3,Data!$A$33:$BY$78,Data!$BS$32,FALSE)=1,VLOOKUP($F$3,Data!$A$33:$BM$78,Data!AE$32,FALSE),VLOOKUP($F$3,Data!$A$33:$BM$78,Data!BC$32,FALSE))</f>
        <v>o</v>
      </c>
      <c r="V75" s="133" t="str">
        <f>IF(VLOOKUP($F$3,Data!$A$33:$BY$78,Data!$BS$32,FALSE)=1,VLOOKUP($F$3,Data!$A$33:$BM$78,Data!AF$32,FALSE),VLOOKUP($F$3,Data!$A$33:$BM$78,Data!BD$32,FALSE))</f>
        <v>o</v>
      </c>
      <c r="W75" s="133" t="str">
        <f>IF(VLOOKUP($F$3,Data!$A$33:$BY$78,Data!$BS$32,FALSE)=1,VLOOKUP($F$3,Data!$A$33:$BM$78,Data!AG$32,FALSE),VLOOKUP($F$3,Data!$A$33:$BM$78,Data!BE$32,FALSE))</f>
        <v>o</v>
      </c>
      <c r="X75" s="133" t="str">
        <f>IF(VLOOKUP($F$3,Data!$A$33:$BY$78,Data!$BS$32,FALSE)=1,VLOOKUP($F$3,Data!$A$33:$BM$78,Data!AH$32,FALSE),VLOOKUP($F$3,Data!$A$33:$BM$78,Data!BF$32,FALSE))</f>
        <v>o</v>
      </c>
      <c r="Y75" s="133" t="str">
        <f>IF(VLOOKUP($F$3,Data!$A$33:$BY$78,Data!$BS$32,FALSE)=1,VLOOKUP($F$3,Data!$A$33:$BM$78,Data!AI$32,FALSE),VLOOKUP($F$3,Data!$A$33:$BM$78,Data!BG$32,FALSE))</f>
        <v>o</v>
      </c>
      <c r="Z75" s="133" t="str">
        <f>IF(VLOOKUP($F$3,Data!$A$33:$BY$78,Data!$BS$32,FALSE)=1,VLOOKUP($F$3,Data!$A$33:$BM$78,Data!AJ$32,FALSE),VLOOKUP($F$3,Data!$A$33:$BM$78,Data!BH$32,FALSE))</f>
        <v>o</v>
      </c>
      <c r="AA75" s="133" t="str">
        <f>IF(VLOOKUP($F$3,Data!$A$33:$BY$78,Data!$BS$32,FALSE)=1,VLOOKUP($F$3,Data!$A$33:$BM$78,Data!AK$32,FALSE),VLOOKUP($F$3,Data!$A$33:$BM$78,Data!BI$32,FALSE))</f>
        <v>o</v>
      </c>
      <c r="AB75" s="133" t="str">
        <f>IF(VLOOKUP($F$3,Data!$A$33:$BY$78,Data!$BS$32,FALSE)=1,VLOOKUP($F$3,Data!$A$33:$BM$78,Data!AL$32,FALSE),VLOOKUP($F$3,Data!$A$33:$BM$78,Data!BJ$32,FALSE))</f>
        <v>o</v>
      </c>
      <c r="AC75" s="133" t="str">
        <f>IF(VLOOKUP($F$3,Data!$A$33:$BY$78,Data!$BS$32,FALSE)=1,VLOOKUP($F$3,Data!$A$33:$BM$78,Data!AM$32,FALSE),VLOOKUP($F$3,Data!$A$33:$BM$78,Data!BK$32,FALSE))</f>
        <v>o</v>
      </c>
      <c r="AD75" s="133" t="str">
        <f>IF(VLOOKUP($F$3,Data!$A$33:$BY$78,Data!$BS$32,FALSE)=1,VLOOKUP($F$3,Data!$A$33:$BM$78,Data!AN$32,FALSE),VLOOKUP($F$3,Data!$A$33:$BM$78,Data!BL$32,FALSE))</f>
        <v>o</v>
      </c>
      <c r="AE75" s="133" t="str">
        <f>IF(VLOOKUP($F$3,Data!$A$33:$BY$78,Data!$BS$32,FALSE)=1,VLOOKUP($F$3,Data!$A$33:$BM$78,Data!AO$32,FALSE),VLOOKUP($F$3,Data!$A$33:$BM$78,Data!BM$32,FALSE))</f>
        <v>o</v>
      </c>
      <c r="AF75" s="189"/>
      <c r="AI75" s="23"/>
      <c r="AJ75" s="23"/>
      <c r="AK75" s="102"/>
    </row>
    <row r="76" spans="2:39" ht="15.75" hidden="1" outlineLevel="1" x14ac:dyDescent="0.25">
      <c r="B76" s="187"/>
      <c r="C76" s="126"/>
      <c r="D76" s="6"/>
      <c r="E76" s="6"/>
      <c r="F76" s="6"/>
      <c r="G76" s="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89"/>
      <c r="AI76" s="23"/>
      <c r="AJ76" s="23"/>
      <c r="AK76" s="102"/>
    </row>
    <row r="77" spans="2:39" ht="16.5" hidden="1" outlineLevel="1" thickBot="1" x14ac:dyDescent="0.3">
      <c r="B77" s="187"/>
      <c r="C77" s="73" t="s">
        <v>187</v>
      </c>
      <c r="D77" s="73"/>
      <c r="E77" s="73"/>
      <c r="F77" s="73"/>
      <c r="G77" s="259" t="str">
        <f>IF($W$12="Tier","Tier 1","On-Peak")</f>
        <v>On-Peak</v>
      </c>
      <c r="H77" s="259"/>
      <c r="I77" s="259" t="str">
        <f>IF($W$12="Tier","Tier 2","Mid-Peak")</f>
        <v>Mid-Peak</v>
      </c>
      <c r="J77" s="259"/>
      <c r="K77" s="259" t="str">
        <f>IF($W$12="Tier","Tier 3","Off-Peak")</f>
        <v>Off-Peak</v>
      </c>
      <c r="L77" s="259"/>
      <c r="M77" s="259" t="s">
        <v>12</v>
      </c>
      <c r="N77" s="259"/>
      <c r="O77" s="6"/>
      <c r="P77" s="6"/>
      <c r="Q77" s="243" t="str">
        <f>IF($W12="Subscription","June Subscription","June Demand")</f>
        <v>June Demand</v>
      </c>
      <c r="R77" s="243"/>
      <c r="S77" s="236"/>
      <c r="T77" s="259" t="str">
        <f>IF(ISNUMBER(FIND("SDG&amp;E AL-TOU2",$F$3)),"TOU Demand","")</f>
        <v/>
      </c>
      <c r="U77" s="259"/>
      <c r="V77" s="259" t="str">
        <f>IF($W72="Subscription","Subscription","Maximum")</f>
        <v>Maximum</v>
      </c>
      <c r="W77" s="259"/>
      <c r="X77" s="259" t="s">
        <v>60</v>
      </c>
      <c r="Y77" s="259"/>
      <c r="Z77" s="259" t="s">
        <v>61</v>
      </c>
      <c r="AA77" s="259"/>
      <c r="AB77" s="259" t="s">
        <v>55</v>
      </c>
      <c r="AC77" s="259"/>
      <c r="AD77" s="259" t="s">
        <v>12</v>
      </c>
      <c r="AE77" s="259"/>
      <c r="AF77" s="189"/>
    </row>
    <row r="78" spans="2:39" ht="15" hidden="1" customHeight="1" outlineLevel="1" x14ac:dyDescent="0.25">
      <c r="B78" s="187"/>
      <c r="C78" s="6" t="s">
        <v>103</v>
      </c>
      <c r="D78" s="6"/>
      <c r="E78" s="6"/>
      <c r="F78" s="6"/>
      <c r="G78" s="260">
        <f>SUMIF($H75:$AE75,"p",$H74:$AE74)/SUM($H74:$AE74)</f>
        <v>0</v>
      </c>
      <c r="H78" s="260"/>
      <c r="I78" s="260">
        <f>SUMIF($H75:$AE75,"m",$H74:$AE74)/SUM($H74:$AE74)</f>
        <v>0</v>
      </c>
      <c r="J78" s="260"/>
      <c r="K78" s="284">
        <f>SUMIF($H75:$AE75,"o",$H74:$AE74)/SUM($H74:$AE74)</f>
        <v>1</v>
      </c>
      <c r="L78" s="284"/>
      <c r="M78" s="6"/>
      <c r="N78" s="6"/>
      <c r="O78" s="6"/>
      <c r="P78" s="6"/>
      <c r="Q78" s="6" t="s">
        <v>104</v>
      </c>
      <c r="R78" s="6"/>
      <c r="S78" s="6"/>
      <c r="T78" s="291" t="str">
        <f>IF(ISNUMBER(FIND("SDG&amp;E AL-TOU2",$F$3)),MAX($X78:$AA78),"")</f>
        <v/>
      </c>
      <c r="U78" s="291"/>
      <c r="V78" s="260">
        <f>IF($W72="Subscription","",MAX($X78:$AC78))</f>
        <v>0.65</v>
      </c>
      <c r="W78" s="260"/>
      <c r="X78" s="284">
        <f t="array" ref="X78">MAX(IF($H75:$AE75="p",$H74:$AE74))</f>
        <v>0</v>
      </c>
      <c r="Y78" s="284"/>
      <c r="Z78" s="284">
        <f t="array" ref="Z78">MAX(IF($H75:$AE75="m",$H74:$AE74))</f>
        <v>0</v>
      </c>
      <c r="AA78" s="284"/>
      <c r="AB78" s="284">
        <f t="array" ref="AB78">MAX(IF($H75:$AE75="o",$H74:$AE74))</f>
        <v>0.65</v>
      </c>
      <c r="AC78" s="284"/>
      <c r="AD78" s="6"/>
      <c r="AE78" s="6"/>
      <c r="AF78" s="189"/>
    </row>
    <row r="79" spans="2:39" ht="15.75" hidden="1" outlineLevel="1" x14ac:dyDescent="0.25">
      <c r="B79" s="187"/>
      <c r="C79" s="6" t="s">
        <v>101</v>
      </c>
      <c r="D79" s="6"/>
      <c r="E79" s="6"/>
      <c r="F79" s="6"/>
      <c r="G79" s="265">
        <f>IF( $W$12="Tier",IF(OR(VLOOKUP($F$3,Data!$A$33:$CN$78,Data!CM$32,FALSE)&gt;$M79,VLOOKUP($F$3,Data!$A$33:$CN$78,Data!CM$32,FALSE)=0),$M79,VLOOKUP($F$3,Data!$A$33:$CN$78,Data!CM$32,FALSE)),$M79*$G78)</f>
        <v>0</v>
      </c>
      <c r="H79" s="265"/>
      <c r="I79" s="265">
        <f>IF(
 $W$12="Tier",
 IF(
  OR($M79&lt;VLOOKUP($F$3,Data!$A$33:$CN$78,Data!CM$32,FALSE),VLOOKUP($F$3,Data!$A$33:$CN$78,Data!CM$32,FALSE)=0),
  0,
   IF(
    OR($M79&gt;VLOOKUP($F$3,Data!$A$33:$CN$78,Data!CM$32,FALSE),VLOOKUP($F$3,Data!$A$33:$CN$78,Data!CN$32,FALSE)=0),
    $M79-VLOOKUP($F$3,Data!$A$33:$CN$78,Data!CM$32,FALSE),
    VLOOKUP($F$3,Data!$A$33:$CN$78,Data!CN$32,FALSE)-VLOOKUP($F$3,Data!$A$33:$CN$78,Data!CM$32,FALSE)
   )
 ),
 $M79*$I78)</f>
        <v>0</v>
      </c>
      <c r="J79" s="265"/>
      <c r="K79" s="265">
        <f>IF($W$12="Tier",M79-SUM(G79:J79),$M79*K78)</f>
        <v>48000</v>
      </c>
      <c r="L79" s="265"/>
      <c r="M79" s="261">
        <f>+$O$71*F71*$F$6*30/$F$7</f>
        <v>48000</v>
      </c>
      <c r="N79" s="261"/>
      <c r="O79" s="6"/>
      <c r="P79" s="6"/>
      <c r="Q79" s="6" t="s">
        <v>107</v>
      </c>
      <c r="R79" s="6"/>
      <c r="S79" s="6"/>
      <c r="T79" s="262" t="str">
        <f>IF(ISNUMBER(FIND("SDG&amp;E AL-TOU2",$F$3)),ROUND(MAX($X79:$AA79),0),"")</f>
        <v/>
      </c>
      <c r="U79" s="262"/>
      <c r="V79" s="261">
        <f>IF($W72="Subscription",$F$9,ROUND(MAX($X79:$AC79),0))</f>
        <v>247</v>
      </c>
      <c r="W79" s="262"/>
      <c r="X79" s="265">
        <f>VLOOKUP($F$5,Data!$A$9:$C$21,Data!$B$8,FALSE)*$O72*$X78</f>
        <v>0</v>
      </c>
      <c r="Y79" s="265"/>
      <c r="Z79" s="265">
        <f>VLOOKUP($F$5,Data!$A$9:$C$21,Data!$B$8,FALSE)*$O72*$Z78</f>
        <v>0</v>
      </c>
      <c r="AA79" s="265"/>
      <c r="AB79" s="265">
        <f>VLOOKUP($F$5,Data!$A$9:$C$21,Data!$B$8,FALSE)*$O72*$AB78</f>
        <v>247</v>
      </c>
      <c r="AC79" s="265"/>
      <c r="AD79" s="261"/>
      <c r="AE79" s="261"/>
      <c r="AF79" s="189"/>
    </row>
    <row r="80" spans="2:39" ht="16.5" hidden="1" outlineLevel="1" thickBot="1" x14ac:dyDescent="0.3">
      <c r="B80" s="187"/>
      <c r="C80" s="56" t="s">
        <v>100</v>
      </c>
      <c r="D80" s="56"/>
      <c r="E80" s="56"/>
      <c r="F80" s="56"/>
      <c r="G80" s="263">
        <f>IF($W$12="Tier",IF(VLOOKUP($F$3,Data!$A$33:$CN$78,Data!BS$32,FALSE)=1,VLOOKUP($F$3,Data!$A$33:$CN$78,Data!CE$32,FALSE),VLOOKUP($F$3,Data!$A$33:$CN$78,Data!CJ$32,FALSE)),IF(VLOOKUP($F$3,Data!$A$33:$CN$78,Data!BS$32,FALSE)=1,VLOOKUP($F$3,Data!$A$33:$CN$78,Data!$K$32,FALSE),VLOOKUP($F$3,Data!$A$33:$CN$78,Data!$N$32,FALSE)))</f>
        <v>0.10590000000000001</v>
      </c>
      <c r="H80" s="263"/>
      <c r="I80" s="263">
        <f>IF($W$12="Tier",IF(VLOOKUP($F$3,Data!$A$33:$CN$78,Data!BS$32,FALSE) = 1,VLOOKUP($F$3,Data!$A$33:$CN$78,Data!CF$32,FALSE),VLOOKUP($F$3,Data!$A$33:$CN$78,Data!CK$32,FALSE)),IF(VLOOKUP($F$3,Data!$A$33:$CN$78,Data!BS$32,FALSE) = 1,VLOOKUP($F$3,Data!$A$33:$CN$78,Data!$L$32,FALSE),VLOOKUP($F$3,Data!$A$33:$CN$78,Data!$O$32,FALSE)))</f>
        <v>0</v>
      </c>
      <c r="J80" s="263"/>
      <c r="K80" s="263">
        <f>IF($W$12="Tier",IF(VLOOKUP($F$3,Data!$A$33:$CN$78,Data!BS$32,FALSE) = 1,VLOOKUP($F$3,Data!$A$33:$CN$78,Data!CG$32,FALSE),VLOOKUP($F$3,Data!$A$33:$CN$78,Data!CL$32,FALSE)),IF(VLOOKUP($F$3,Data!$A$33:$CN$78,Data!BS$32,FALSE) = 1,VLOOKUP($F$3,Data!$A$33:$CN$78,Data!$M$32,FALSE),VLOOKUP($F$3,Data!$A$33:$CN$78,Data!$P$32,FALSE)))</f>
        <v>8.4400000000000003E-2</v>
      </c>
      <c r="L80" s="263"/>
      <c r="M80" s="266"/>
      <c r="N80" s="266"/>
      <c r="O80" s="6"/>
      <c r="P80" s="6"/>
      <c r="Q80" s="56" t="str">
        <f>IF($W72="Subscription","Subscription Rate ($/kW)","Demand Rate ($/kW)")</f>
        <v>Demand Rate ($/kW)</v>
      </c>
      <c r="R80" s="56"/>
      <c r="S80" s="56"/>
      <c r="T80" s="263" t="str">
        <f>IF(ISNUMBER(FIND("SDG&amp;E AL-TOU2",$F$3)),19.7,"")</f>
        <v/>
      </c>
      <c r="U80" s="263"/>
      <c r="V80" s="263">
        <f>IF(VLOOKUP($F$3,Data!$A$33:$CN$78,Data!BS$32,FALSE) = 1,VLOOKUP($F$3,Data!$A$33:$CN$78,Data!$C$32,FALSE),VLOOKUP($F$3,Data!$A$33:$CN$78,Data!$G$32,FALSE))</f>
        <v>3.8</v>
      </c>
      <c r="W80" s="263"/>
      <c r="X80" s="263">
        <f>IF(VLOOKUP($F$3,Data!$A$33:$CN$78,Data!BS$32,FALSE) = 1,VLOOKUP($F$3,Data!$A$33:$CN$78,Data!$D$32,FALSE),VLOOKUP($F$3,Data!$A$33:$CN$78,Data!$H$32,FALSE))</f>
        <v>0</v>
      </c>
      <c r="Y80" s="263"/>
      <c r="Z80" s="263">
        <f>IF(VLOOKUP($F$3,Data!$A$33:$CN$78,Data!BS$32,FALSE) = 1,VLOOKUP($F$3,Data!$A$33:$CN$78,Data!$E$32,FALSE),VLOOKUP($F$3,Data!$A$33:$CN$78,Data!$I$32,FALSE))</f>
        <v>0</v>
      </c>
      <c r="AA80" s="263"/>
      <c r="AB80" s="263">
        <f>IF(VLOOKUP($F$3,Data!$A$33:$CN$78,Data!BS$32,FALSE) = 1,VLOOKUP($F$3,Data!$A$33:$CN$78,Data!$F$32,FALSE),VLOOKUP($F$3,Data!$A$33:$CN$78,Data!$J$32,FALSE))</f>
        <v>0</v>
      </c>
      <c r="AC80" s="263"/>
      <c r="AD80" s="56"/>
      <c r="AE80" s="56"/>
      <c r="AF80" s="189"/>
    </row>
    <row r="81" spans="2:39" ht="15.75" hidden="1" outlineLevel="1" x14ac:dyDescent="0.25">
      <c r="B81" s="187"/>
      <c r="C81" s="92" t="s">
        <v>102</v>
      </c>
      <c r="D81" s="76"/>
      <c r="E81" s="76"/>
      <c r="F81" s="76"/>
      <c r="G81" s="270">
        <f>+G79*G80</f>
        <v>0</v>
      </c>
      <c r="H81" s="270"/>
      <c r="I81" s="269">
        <f>+I79*I80</f>
        <v>0</v>
      </c>
      <c r="J81" s="269"/>
      <c r="K81" s="270">
        <f>+K79*K80</f>
        <v>4051.2000000000003</v>
      </c>
      <c r="L81" s="270"/>
      <c r="M81" s="270">
        <f>SUM(G81:L81)</f>
        <v>4051.2000000000003</v>
      </c>
      <c r="N81" s="270"/>
      <c r="O81" s="6"/>
      <c r="P81" s="6"/>
      <c r="Q81" s="6" t="str">
        <f>IF($W72="Subscription","Subscription Fee","Demand Charge")</f>
        <v>Demand Charge</v>
      </c>
      <c r="R81" s="72"/>
      <c r="S81" s="72"/>
      <c r="T81" s="287" t="str">
        <f>IF(ISNUMBER(FIND("SDG&amp;E AL-TOU2",$F$3)),$T79*$T80,"")</f>
        <v/>
      </c>
      <c r="U81" s="287"/>
      <c r="V81" s="293">
        <f>+V79*V80</f>
        <v>938.59999999999991</v>
      </c>
      <c r="W81" s="293"/>
      <c r="X81" s="293">
        <f>+X79*X80</f>
        <v>0</v>
      </c>
      <c r="Y81" s="293"/>
      <c r="Z81" s="293">
        <f>+Z79*Z80</f>
        <v>0</v>
      </c>
      <c r="AA81" s="293"/>
      <c r="AB81" s="293">
        <f>+AB79*AB80</f>
        <v>0</v>
      </c>
      <c r="AC81" s="293"/>
      <c r="AD81" s="293">
        <f>SUM(T81:AC81)</f>
        <v>938.59999999999991</v>
      </c>
      <c r="AE81" s="293"/>
      <c r="AF81" s="189"/>
    </row>
    <row r="82" spans="2:39" ht="15.75" hidden="1" outlineLevel="1" x14ac:dyDescent="0.25">
      <c r="B82" s="190"/>
      <c r="C82" s="174"/>
      <c r="D82" s="175"/>
      <c r="E82" s="175"/>
      <c r="F82" s="175"/>
      <c r="G82" s="176"/>
      <c r="H82" s="176"/>
      <c r="I82" s="176"/>
      <c r="J82" s="176"/>
      <c r="K82" s="176"/>
      <c r="L82" s="176"/>
      <c r="M82" s="176"/>
      <c r="N82" s="176"/>
      <c r="O82" s="177"/>
      <c r="P82" s="177"/>
      <c r="Q82" s="177"/>
      <c r="R82" s="177"/>
      <c r="S82" s="177"/>
      <c r="T82" s="177"/>
      <c r="U82" s="177"/>
      <c r="V82" s="178"/>
      <c r="W82" s="178"/>
      <c r="X82" s="178"/>
      <c r="Y82" s="178"/>
      <c r="Z82" s="178"/>
      <c r="AA82" s="178"/>
      <c r="AB82" s="178"/>
      <c r="AC82" s="178"/>
      <c r="AD82" s="178"/>
      <c r="AE82" s="178"/>
      <c r="AF82" s="191"/>
    </row>
    <row r="83" spans="2:39" ht="15.75" collapsed="1" x14ac:dyDescent="0.25">
      <c r="B83" s="192" t="s">
        <v>170</v>
      </c>
      <c r="C83" s="6"/>
      <c r="D83" s="6"/>
      <c r="E83" s="165" t="s">
        <v>172</v>
      </c>
      <c r="F83" s="167">
        <v>80</v>
      </c>
      <c r="G83" s="169" t="s">
        <v>173</v>
      </c>
      <c r="H83" s="6"/>
      <c r="I83" s="165" t="s">
        <v>222</v>
      </c>
      <c r="J83" s="294" t="s">
        <v>367</v>
      </c>
      <c r="K83" s="294"/>
      <c r="L83" s="294"/>
      <c r="M83" s="6"/>
      <c r="N83" s="165" t="s">
        <v>205</v>
      </c>
      <c r="O83" s="170">
        <v>1</v>
      </c>
      <c r="P83" s="168" t="s">
        <v>206</v>
      </c>
      <c r="Q83" s="6"/>
      <c r="R83" s="76"/>
      <c r="S83" s="72"/>
      <c r="T83" s="72"/>
      <c r="U83" s="72"/>
      <c r="V83" s="171" t="str">
        <f>+"July Monthly Bill (with taxes/fees) = "</f>
        <v xml:space="preserve">July Monthly Bill (with taxes/fees) = </v>
      </c>
      <c r="W83" s="172">
        <f>(AD93+M93+VLOOKUP($F$3,Data!$A$33:$CA$78,2))*(1+$F$8)</f>
        <v>7430.4600555555562</v>
      </c>
      <c r="X83" s="72"/>
      <c r="Y83" s="68"/>
      <c r="Z83" s="223"/>
      <c r="AA83" s="239"/>
      <c r="AB83" s="239" t="str">
        <f>"Cost = $"&amp;FIXED(W83/M91,2) &amp; "/kWh"</f>
        <v>Cost = $0.13/kWh</v>
      </c>
      <c r="AC83" s="222" t="s">
        <v>344</v>
      </c>
      <c r="AD83" s="173" t="str">
        <f>"$"&amp; FIXED(W83*O83/M91,2)&amp;"/mi."</f>
        <v>$0.13/mi.</v>
      </c>
      <c r="AE83" s="72"/>
      <c r="AF83" s="189"/>
      <c r="AH83" s="88"/>
      <c r="AI83" s="23"/>
      <c r="AK83" s="102"/>
      <c r="AL83" s="23"/>
    </row>
    <row r="84" spans="2:39" s="138" customFormat="1" hidden="1" outlineLevel="1" x14ac:dyDescent="0.2">
      <c r="B84" s="186" t="s">
        <v>122</v>
      </c>
      <c r="C84" s="240">
        <f>ROUND(2*$E84/$G84,1)/2</f>
        <v>0.6</v>
      </c>
      <c r="D84" s="156" t="s">
        <v>120</v>
      </c>
      <c r="E84" s="245">
        <f>+$O83*$F83*$M84/($F$7*$Q84)</f>
        <v>4.6783625730994149</v>
      </c>
      <c r="F84" s="156" t="s">
        <v>119</v>
      </c>
      <c r="G84" s="246">
        <f>+VLOOKUP($J83,Data!$Q$9:$BQ$17,Data!$BP$8,FALSE)</f>
        <v>8</v>
      </c>
      <c r="H84" s="143" t="s">
        <v>116</v>
      </c>
      <c r="I84" s="155">
        <f>IF(VLOOKUP($F$4,Data!$G$9:$L$16,Data!$L$8,FALSE)&lt;1,VLOOKUP($F$4,Data!$G$9:$L$16,Data!$L$8,FALSE),1)</f>
        <v>1</v>
      </c>
      <c r="J84" s="143" t="s">
        <v>117</v>
      </c>
      <c r="K84" s="240">
        <f>IF(VLOOKUP($F$4,Data!$G$9:$L$16,Data!$L$8,FALSE)="software",IF($C84&gt;0.75,1,$C84+0.1),1)</f>
        <v>0.7</v>
      </c>
      <c r="L84" s="143" t="s">
        <v>109</v>
      </c>
      <c r="M84" s="246">
        <f>+VLOOKUP($F$4,Data!$G$9:$L$16,Data!$I$8)</f>
        <v>1</v>
      </c>
      <c r="N84" s="143" t="s">
        <v>108</v>
      </c>
      <c r="O84" s="247">
        <f>INT($F$6/$M84)+IF(($F$6/$M84-INT($F$6/$M84))&gt;0,1,0)</f>
        <v>20</v>
      </c>
      <c r="P84" s="143" t="s">
        <v>121</v>
      </c>
      <c r="Q84" s="143">
        <f>VLOOKUP($F$5,Data!$A$9:$C$19,Data!$B$8,FALSE)</f>
        <v>19</v>
      </c>
      <c r="R84" s="144" t="s">
        <v>25</v>
      </c>
      <c r="S84" s="247">
        <f>VLOOKUP($F$3,Data!$A$33:$CN$78,Data!$CB$32,FALSE)</f>
        <v>300</v>
      </c>
      <c r="T84" s="144" t="s">
        <v>26</v>
      </c>
      <c r="U84" s="247">
        <f>IF(VLOOKUP($F$3,Data!$A$33:$CN$78,Data!$CC$32)="N/A",10000000,VLOOKUP($F$3,Data!$A$33:$CN$78,Data!$CC$32,FALSE))</f>
        <v>500</v>
      </c>
      <c r="V84" s="144" t="s">
        <v>40</v>
      </c>
      <c r="W84" s="158" t="str">
        <f>VLOOKUP($F$3,Data!$A$33:$CN$78,Data!CD$32,FALSE)</f>
        <v>TOU</v>
      </c>
      <c r="X84" s="157" t="s">
        <v>144</v>
      </c>
      <c r="Y84" s="248">
        <f>VLOOKUP($F$3,Data!$A$33:$CN$78,Data!$BZ$32)</f>
        <v>3</v>
      </c>
      <c r="Z84" s="144"/>
      <c r="AA84" s="144"/>
      <c r="AB84" s="144"/>
      <c r="AC84" s="144"/>
      <c r="AD84" s="144"/>
      <c r="AE84" s="144"/>
      <c r="AF84" s="255"/>
      <c r="AG84" s="140"/>
      <c r="AH84" s="140"/>
      <c r="AI84" s="137"/>
      <c r="AK84" s="139"/>
      <c r="AL84" s="141"/>
      <c r="AM84" s="141"/>
    </row>
    <row r="85" spans="2:39" ht="15.75" hidden="1" outlineLevel="1" x14ac:dyDescent="0.25">
      <c r="B85" s="187"/>
      <c r="C85" s="130" t="s">
        <v>222</v>
      </c>
      <c r="D85" s="65"/>
      <c r="E85" s="65"/>
      <c r="F85" s="6"/>
      <c r="G85" s="6"/>
      <c r="H85" s="66" t="s">
        <v>74</v>
      </c>
      <c r="I85" s="66" t="s">
        <v>75</v>
      </c>
      <c r="J85" s="66" t="s">
        <v>76</v>
      </c>
      <c r="K85" s="66" t="s">
        <v>77</v>
      </c>
      <c r="L85" s="66" t="s">
        <v>78</v>
      </c>
      <c r="M85" s="66" t="s">
        <v>79</v>
      </c>
      <c r="N85" s="66" t="s">
        <v>80</v>
      </c>
      <c r="O85" s="66" t="s">
        <v>81</v>
      </c>
      <c r="P85" s="66" t="s">
        <v>82</v>
      </c>
      <c r="Q85" s="66" t="s">
        <v>83</v>
      </c>
      <c r="R85" s="66" t="s">
        <v>84</v>
      </c>
      <c r="S85" s="66" t="s">
        <v>85</v>
      </c>
      <c r="T85" s="66" t="s">
        <v>86</v>
      </c>
      <c r="U85" s="66" t="s">
        <v>87</v>
      </c>
      <c r="V85" s="66" t="s">
        <v>88</v>
      </c>
      <c r="W85" s="66" t="s">
        <v>89</v>
      </c>
      <c r="X85" s="66" t="s">
        <v>90</v>
      </c>
      <c r="Y85" s="66" t="s">
        <v>91</v>
      </c>
      <c r="Z85" s="66" t="s">
        <v>92</v>
      </c>
      <c r="AA85" s="66" t="s">
        <v>93</v>
      </c>
      <c r="AB85" s="66" t="s">
        <v>94</v>
      </c>
      <c r="AC85" s="66" t="s">
        <v>95</v>
      </c>
      <c r="AD85" s="66" t="s">
        <v>96</v>
      </c>
      <c r="AE85" s="66" t="s">
        <v>97</v>
      </c>
      <c r="AF85" s="188"/>
      <c r="AI85" s="23"/>
      <c r="AJ85" s="23"/>
      <c r="AK85" s="102"/>
    </row>
    <row r="86" spans="2:39" ht="15.75" hidden="1" outlineLevel="1" x14ac:dyDescent="0.25">
      <c r="B86" s="187"/>
      <c r="C86" s="295" t="str">
        <f>J83</f>
        <v>Late Evening (10p-6a)</v>
      </c>
      <c r="D86" s="296"/>
      <c r="E86" s="296"/>
      <c r="F86" s="296"/>
      <c r="G86" s="297"/>
      <c r="H86" s="151">
        <f>$I84*$K84*VLOOKUP($C86,Data!$Q$9:$BO$17,Data!T$8,FALSE)</f>
        <v>0</v>
      </c>
      <c r="I86" s="151">
        <f>$I84*$K84*VLOOKUP($C86,Data!$Q$9:$BO$17,Data!U$8,FALSE)</f>
        <v>0</v>
      </c>
      <c r="J86" s="151">
        <f>$I84*$K84*VLOOKUP($C86,Data!$Q$9:$BO$17,Data!V$8,FALSE)</f>
        <v>0</v>
      </c>
      <c r="K86" s="151">
        <f>$I84*$K84*VLOOKUP($C86,Data!$Q$9:$BO$17,Data!W$8,FALSE)</f>
        <v>0</v>
      </c>
      <c r="L86" s="151">
        <f>$I84*$K84*VLOOKUP($C86,Data!$Q$9:$BO$17,Data!X$8,FALSE)</f>
        <v>0</v>
      </c>
      <c r="M86" s="151">
        <f>$I84*$K84*VLOOKUP($C86,Data!$Q$9:$BO$17,Data!Y$8,FALSE)</f>
        <v>0</v>
      </c>
      <c r="N86" s="151">
        <f>$I84*$K84*VLOOKUP($C86,Data!$Q$9:$BO$17,Data!Z$8,FALSE)</f>
        <v>0</v>
      </c>
      <c r="O86" s="151">
        <f>$I84*$K84*VLOOKUP($C86,Data!$Q$9:$BO$17,Data!AA$8,FALSE)</f>
        <v>0</v>
      </c>
      <c r="P86" s="151">
        <f>$I84*$K84*VLOOKUP($C86,Data!$Q$9:$BO$17,Data!AB$8,FALSE)</f>
        <v>0</v>
      </c>
      <c r="Q86" s="151">
        <f>$I84*$K84*VLOOKUP($C86,Data!$Q$9:$BO$17,Data!AC$8,FALSE)</f>
        <v>0</v>
      </c>
      <c r="R86" s="151">
        <f>$I84*$K84*VLOOKUP($C86,Data!$Q$9:$BO$17,Data!AD$8,FALSE)</f>
        <v>0.7</v>
      </c>
      <c r="S86" s="151">
        <f>$I84*$K84*VLOOKUP($C86,Data!$Q$9:$BO$17,Data!AE$8,FALSE)</f>
        <v>0.7</v>
      </c>
      <c r="T86" s="151">
        <f>$I84*$K84*VLOOKUP($C86,Data!$Q$9:$BO$17,Data!AF$8,FALSE)</f>
        <v>0.7</v>
      </c>
      <c r="U86" s="151">
        <f>$I84*$K84*VLOOKUP($C86,Data!$Q$9:$BO$17,Data!AG$8,FALSE)</f>
        <v>0.7</v>
      </c>
      <c r="V86" s="151">
        <f>$I84*$K84*VLOOKUP($C86,Data!$Q$9:$BO$17,Data!AH$8,FALSE)</f>
        <v>0.7</v>
      </c>
      <c r="W86" s="151">
        <f>$I84*$K84*VLOOKUP($C86,Data!$Q$9:$BO$17,Data!AI$8,FALSE)</f>
        <v>0.7</v>
      </c>
      <c r="X86" s="151">
        <f>$I84*$K84*VLOOKUP($C86,Data!$Q$9:$BO$17,Data!AJ$8,FALSE)</f>
        <v>0.7</v>
      </c>
      <c r="Y86" s="151">
        <f>$I84*$K84*VLOOKUP($C86,Data!$Q$9:$BO$17,Data!AK$8,FALSE)</f>
        <v>0.7</v>
      </c>
      <c r="Z86" s="151">
        <f>$I84*$K84*VLOOKUP($C86,Data!$Q$9:$BO$17,Data!AL$8,FALSE)</f>
        <v>0</v>
      </c>
      <c r="AA86" s="151">
        <f>$I84*$K84*VLOOKUP($C86,Data!$Q$9:$BO$17,Data!AM$8,FALSE)</f>
        <v>0</v>
      </c>
      <c r="AB86" s="151">
        <f>$I84*$K84*VLOOKUP($C86,Data!$Q$9:$BO$17,Data!AN$8,FALSE)</f>
        <v>0</v>
      </c>
      <c r="AC86" s="151">
        <f>$I84*$K84*VLOOKUP($C86,Data!$Q$9:$BO$17,Data!AO$8,FALSE)</f>
        <v>0</v>
      </c>
      <c r="AD86" s="151">
        <f>$I84*$K84*VLOOKUP($C86,Data!$Q$9:$BO$17,Data!AP$8,FALSE)</f>
        <v>0</v>
      </c>
      <c r="AE86" s="151">
        <f>$I84*$K84*VLOOKUP($C86,Data!$Q$9:$BO$17,Data!AQ$8,FALSE)</f>
        <v>0</v>
      </c>
      <c r="AF86" s="189"/>
      <c r="AI86" s="68"/>
    </row>
    <row r="87" spans="2:39" ht="15.75" hidden="1" outlineLevel="1" x14ac:dyDescent="0.25">
      <c r="B87" s="187"/>
      <c r="C87" s="126" t="s">
        <v>188</v>
      </c>
      <c r="D87" s="6"/>
      <c r="E87" s="6"/>
      <c r="F87" s="6"/>
      <c r="G87" s="6"/>
      <c r="H87" s="133" t="str">
        <f>IF(VLOOKUP($F$3,Data!$A$33:$BY$78,Data!$BT$32,FALSE)=1,VLOOKUP($F$3,Data!$A$33:$BM$78,Data!R$32,FALSE),VLOOKUP($F$3,Data!$A$33:$BM$78,Data!AP$32,FALSE))</f>
        <v>m</v>
      </c>
      <c r="I87" s="133" t="str">
        <f>IF(VLOOKUP($F$3,Data!$A$33:$BY$78,Data!$BT$32,FALSE)=1,VLOOKUP($F$3,Data!$A$33:$BM$78,Data!S$32,FALSE),VLOOKUP($F$3,Data!$A$33:$BM$78,Data!AQ$32,FALSE))</f>
        <v>m</v>
      </c>
      <c r="J87" s="133" t="str">
        <f>IF(VLOOKUP($F$3,Data!$A$33:$BY$78,Data!$BT$32,FALSE)=1,VLOOKUP($F$3,Data!$A$33:$BM$78,Data!T$32,FALSE),VLOOKUP($F$3,Data!$A$33:$BM$78,Data!AR$32,FALSE))</f>
        <v>p</v>
      </c>
      <c r="K87" s="133" t="str">
        <f>IF(VLOOKUP($F$3,Data!$A$33:$BY$78,Data!$BT$32,FALSE)=1,VLOOKUP($F$3,Data!$A$33:$BM$78,Data!U$32,FALSE),VLOOKUP($F$3,Data!$A$33:$BM$78,Data!AS$32,FALSE))</f>
        <v>p</v>
      </c>
      <c r="L87" s="133" t="str">
        <f>IF(VLOOKUP($F$3,Data!$A$33:$BY$78,Data!$BT$32,FALSE)=1,VLOOKUP($F$3,Data!$A$33:$BM$78,Data!V$32,FALSE),VLOOKUP($F$3,Data!$A$33:$BM$78,Data!AT$32,FALSE))</f>
        <v>p</v>
      </c>
      <c r="M87" s="133" t="str">
        <f>IF(VLOOKUP($F$3,Data!$A$33:$BY$78,Data!$BT$32,FALSE)=1,VLOOKUP($F$3,Data!$A$33:$BM$78,Data!W$32,FALSE),VLOOKUP($F$3,Data!$A$33:$BM$78,Data!AU$32,FALSE))</f>
        <v>p</v>
      </c>
      <c r="N87" s="133" t="str">
        <f>IF(VLOOKUP($F$3,Data!$A$33:$BY$78,Data!$BT$32,FALSE)=1,VLOOKUP($F$3,Data!$A$33:$BM$78,Data!X$32,FALSE),VLOOKUP($F$3,Data!$A$33:$BM$78,Data!AV$32,FALSE))</f>
        <v>p</v>
      </c>
      <c r="O87" s="133" t="str">
        <f>IF(VLOOKUP($F$3,Data!$A$33:$BY$78,Data!$BT$32,FALSE)=1,VLOOKUP($F$3,Data!$A$33:$BM$78,Data!Y$32,FALSE),VLOOKUP($F$3,Data!$A$33:$BM$78,Data!AW$32,FALSE))</f>
        <v>p</v>
      </c>
      <c r="P87" s="133" t="str">
        <f>IF(VLOOKUP($F$3,Data!$A$33:$BY$78,Data!$BT$32,FALSE)=1,VLOOKUP($F$3,Data!$A$33:$BM$78,Data!Z$32,FALSE),VLOOKUP($F$3,Data!$A$33:$BM$78,Data!AX$32,FALSE))</f>
        <v>m</v>
      </c>
      <c r="Q87" s="133" t="str">
        <f>IF(VLOOKUP($F$3,Data!$A$33:$BY$78,Data!$BT$32,FALSE)=1,VLOOKUP($F$3,Data!$A$33:$BM$78,Data!AA$32,FALSE),VLOOKUP($F$3,Data!$A$33:$BM$78,Data!AY$32,FALSE))</f>
        <v>m</v>
      </c>
      <c r="R87" s="133" t="str">
        <f>IF(VLOOKUP($F$3,Data!$A$33:$BY$78,Data!$BT$32,FALSE)=1,VLOOKUP($F$3,Data!$A$33:$BM$78,Data!AB$32,FALSE),VLOOKUP($F$3,Data!$A$33:$BM$78,Data!AZ$32,FALSE))</f>
        <v>o</v>
      </c>
      <c r="S87" s="133" t="str">
        <f>IF(VLOOKUP($F$3,Data!$A$33:$BY$78,Data!$BT$32,FALSE)=1,VLOOKUP($F$3,Data!$A$33:$BM$78,Data!AC$32,FALSE),VLOOKUP($F$3,Data!$A$33:$BM$78,Data!BA$32,FALSE))</f>
        <v>o</v>
      </c>
      <c r="T87" s="133" t="str">
        <f>IF(VLOOKUP($F$3,Data!$A$33:$BY$78,Data!$BT$32,FALSE)=1,VLOOKUP($F$3,Data!$A$33:$BM$78,Data!AD$32,FALSE),VLOOKUP($F$3,Data!$A$33:$BM$78,Data!BB$32,FALSE))</f>
        <v>o</v>
      </c>
      <c r="U87" s="133" t="str">
        <f>IF(VLOOKUP($F$3,Data!$A$33:$BY$78,Data!$BT$32,FALSE)=1,VLOOKUP($F$3,Data!$A$33:$BM$78,Data!AE$32,FALSE),VLOOKUP($F$3,Data!$A$33:$BM$78,Data!BC$32,FALSE))</f>
        <v>o</v>
      </c>
      <c r="V87" s="133" t="str">
        <f>IF(VLOOKUP($F$3,Data!$A$33:$BY$78,Data!$BT$32,FALSE)=1,VLOOKUP($F$3,Data!$A$33:$BM$78,Data!AF$32,FALSE),VLOOKUP($F$3,Data!$A$33:$BM$78,Data!BD$32,FALSE))</f>
        <v>o</v>
      </c>
      <c r="W87" s="133" t="str">
        <f>IF(VLOOKUP($F$3,Data!$A$33:$BY$78,Data!$BT$32,FALSE)=1,VLOOKUP($F$3,Data!$A$33:$BM$78,Data!AG$32,FALSE),VLOOKUP($F$3,Data!$A$33:$BM$78,Data!BE$32,FALSE))</f>
        <v>o</v>
      </c>
      <c r="X87" s="133" t="str">
        <f>IF(VLOOKUP($F$3,Data!$A$33:$BY$78,Data!$BT$32,FALSE)=1,VLOOKUP($F$3,Data!$A$33:$BM$78,Data!AH$32,FALSE),VLOOKUP($F$3,Data!$A$33:$BM$78,Data!BF$32,FALSE))</f>
        <v>o</v>
      </c>
      <c r="Y87" s="133" t="str">
        <f>IF(VLOOKUP($F$3,Data!$A$33:$BY$78,Data!$BT$32,FALSE)=1,VLOOKUP($F$3,Data!$A$33:$BM$78,Data!AI$32,FALSE),VLOOKUP($F$3,Data!$A$33:$BM$78,Data!BG$32,FALSE))</f>
        <v>o</v>
      </c>
      <c r="Z87" s="133" t="str">
        <f>IF(VLOOKUP($F$3,Data!$A$33:$BY$78,Data!$BT$32,FALSE)=1,VLOOKUP($F$3,Data!$A$33:$BM$78,Data!AJ$32,FALSE),VLOOKUP($F$3,Data!$A$33:$BM$78,Data!BH$32,FALSE))</f>
        <v>o</v>
      </c>
      <c r="AA87" s="133" t="str">
        <f>IF(VLOOKUP($F$3,Data!$A$33:$BY$78,Data!$BT$32,FALSE)=1,VLOOKUP($F$3,Data!$A$33:$BM$78,Data!AK$32,FALSE),VLOOKUP($F$3,Data!$A$33:$BM$78,Data!BI$32,FALSE))</f>
        <v>o</v>
      </c>
      <c r="AB87" s="133" t="str">
        <f>IF(VLOOKUP($F$3,Data!$A$33:$BY$78,Data!$BT$32,FALSE)=1,VLOOKUP($F$3,Data!$A$33:$BM$78,Data!AL$32,FALSE),VLOOKUP($F$3,Data!$A$33:$BM$78,Data!BJ$32,FALSE))</f>
        <v>o</v>
      </c>
      <c r="AC87" s="133" t="str">
        <f>IF(VLOOKUP($F$3,Data!$A$33:$BY$78,Data!$BT$32,FALSE)=1,VLOOKUP($F$3,Data!$A$33:$BM$78,Data!AM$32,FALSE),VLOOKUP($F$3,Data!$A$33:$BM$78,Data!BK$32,FALSE))</f>
        <v>o</v>
      </c>
      <c r="AD87" s="133" t="str">
        <f>IF(VLOOKUP($F$3,Data!$A$33:$BY$78,Data!$BT$32,FALSE)=1,VLOOKUP($F$3,Data!$A$33:$BM$78,Data!AN$32,FALSE),VLOOKUP($F$3,Data!$A$33:$BM$78,Data!BL$32,FALSE))</f>
        <v>o</v>
      </c>
      <c r="AE87" s="133" t="str">
        <f>IF(VLOOKUP($F$3,Data!$A$33:$BY$78,Data!$BT$32,FALSE)=1,VLOOKUP($F$3,Data!$A$33:$BM$78,Data!AO$32,FALSE),VLOOKUP($F$3,Data!$A$33:$BM$78,Data!BM$32,FALSE))</f>
        <v>o</v>
      </c>
      <c r="AF87" s="189"/>
      <c r="AI87" s="23"/>
      <c r="AJ87" s="23"/>
      <c r="AK87" s="102"/>
    </row>
    <row r="88" spans="2:39" ht="15.75" hidden="1" outlineLevel="1" x14ac:dyDescent="0.25">
      <c r="B88" s="187"/>
      <c r="C88" s="126"/>
      <c r="D88" s="6"/>
      <c r="E88" s="6"/>
      <c r="F88" s="6"/>
      <c r="G88" s="6"/>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89"/>
      <c r="AI88" s="23"/>
      <c r="AJ88" s="23"/>
      <c r="AK88" s="102"/>
    </row>
    <row r="89" spans="2:39" ht="16.5" hidden="1" outlineLevel="1" thickBot="1" x14ac:dyDescent="0.3">
      <c r="B89" s="187"/>
      <c r="C89" s="73" t="s">
        <v>189</v>
      </c>
      <c r="D89" s="73"/>
      <c r="E89" s="73"/>
      <c r="F89" s="73"/>
      <c r="G89" s="259" t="str">
        <f>IF($W$12="Tier","Tier 1","On-Peak")</f>
        <v>On-Peak</v>
      </c>
      <c r="H89" s="259"/>
      <c r="I89" s="259" t="str">
        <f>IF($W$12="Tier","Tier 2","Mid-Peak")</f>
        <v>Mid-Peak</v>
      </c>
      <c r="J89" s="259"/>
      <c r="K89" s="259" t="str">
        <f>IF($W$12="Tier","Tier 3","Off-Peak")</f>
        <v>Off-Peak</v>
      </c>
      <c r="L89" s="259"/>
      <c r="M89" s="259" t="s">
        <v>12</v>
      </c>
      <c r="N89" s="259"/>
      <c r="O89" s="6"/>
      <c r="P89" s="6"/>
      <c r="Q89" s="243" t="str">
        <f>IF($W12="Subscription","July Subscription","July Demand")</f>
        <v>July Demand</v>
      </c>
      <c r="R89" s="243"/>
      <c r="S89" s="236"/>
      <c r="T89" s="259" t="str">
        <f>IF(ISNUMBER(FIND("SDG&amp;E AL-TOU2",$F$3)),"TOU Demand","")</f>
        <v/>
      </c>
      <c r="U89" s="259"/>
      <c r="V89" s="259" t="str">
        <f>IF($W84="Subscription","Subscription","Maximum")</f>
        <v>Maximum</v>
      </c>
      <c r="W89" s="259"/>
      <c r="X89" s="259" t="s">
        <v>60</v>
      </c>
      <c r="Y89" s="259"/>
      <c r="Z89" s="259" t="s">
        <v>61</v>
      </c>
      <c r="AA89" s="259"/>
      <c r="AB89" s="259" t="s">
        <v>55</v>
      </c>
      <c r="AC89" s="259"/>
      <c r="AD89" s="259" t="s">
        <v>12</v>
      </c>
      <c r="AE89" s="259"/>
      <c r="AF89" s="189"/>
    </row>
    <row r="90" spans="2:39" ht="15" hidden="1" customHeight="1" outlineLevel="1" x14ac:dyDescent="0.25">
      <c r="B90" s="187"/>
      <c r="C90" s="6" t="s">
        <v>103</v>
      </c>
      <c r="D90" s="6"/>
      <c r="E90" s="6"/>
      <c r="F90" s="6"/>
      <c r="G90" s="260">
        <f>SUMIF($H87:$AE87,"p",$H86:$AE86)/SUM($H86:$AE86)</f>
        <v>0</v>
      </c>
      <c r="H90" s="260"/>
      <c r="I90" s="260">
        <f>SUMIF($H87:$AE87,"m",$H86:$AE86)/SUM($H86:$AE86)</f>
        <v>0</v>
      </c>
      <c r="J90" s="260"/>
      <c r="K90" s="284">
        <f>SUMIF($H87:$AE87,"o",$H86:$AE86)/SUM($H86:$AE86)</f>
        <v>1</v>
      </c>
      <c r="L90" s="284"/>
      <c r="M90" s="6"/>
      <c r="N90" s="6"/>
      <c r="O90" s="6"/>
      <c r="P90" s="6"/>
      <c r="Q90" s="6" t="s">
        <v>104</v>
      </c>
      <c r="R90" s="6"/>
      <c r="S90" s="6"/>
      <c r="T90" s="291" t="str">
        <f>IF(ISNUMBER(FIND("SDG&amp;E AL-TOU2",$F$3)),MAX($X90:$AA90),"")</f>
        <v/>
      </c>
      <c r="U90" s="291"/>
      <c r="V90" s="260">
        <f>IF($W84="Subscription","",MAX($X90:$AC90))</f>
        <v>0.7</v>
      </c>
      <c r="W90" s="260"/>
      <c r="X90" s="284">
        <f t="array" ref="X90">MAX(IF($H87:$AE87="p",$H86:$AE86))</f>
        <v>0</v>
      </c>
      <c r="Y90" s="284"/>
      <c r="Z90" s="284">
        <f t="array" ref="Z90">MAX(IF($H87:$AE87="m",$H86:$AE86))</f>
        <v>0</v>
      </c>
      <c r="AA90" s="284"/>
      <c r="AB90" s="284">
        <f t="array" ref="AB90">MAX(IF($H87:$AE87="o",$H86:$AE86))</f>
        <v>0.7</v>
      </c>
      <c r="AC90" s="284"/>
      <c r="AD90" s="6"/>
      <c r="AE90" s="6"/>
      <c r="AF90" s="189"/>
    </row>
    <row r="91" spans="2:39" ht="15.75" hidden="1" outlineLevel="1" x14ac:dyDescent="0.25">
      <c r="B91" s="187"/>
      <c r="C91" s="6" t="s">
        <v>101</v>
      </c>
      <c r="D91" s="6"/>
      <c r="E91" s="6"/>
      <c r="F91" s="6"/>
      <c r="G91" s="265">
        <f>IF( $W$12="Tier",IF(OR(VLOOKUP($F$3,Data!$A$33:$CN$78,Data!CM$32,FALSE)&gt;$M91,VLOOKUP($F$3,Data!$A$33:$CN$78,Data!CM$32,FALSE)=0),$M91,VLOOKUP($F$3,Data!$A$33:$CN$78,Data!CM$32,FALSE)),$M91*$G90)</f>
        <v>0</v>
      </c>
      <c r="H91" s="265"/>
      <c r="I91" s="265">
        <f>IF(
 $W$12="Tier",
 IF(
  OR($M91&lt;VLOOKUP($F$3,Data!$A$33:$CN$78,Data!CM$32,FALSE),VLOOKUP($F$3,Data!$A$33:$CN$78,Data!CM$32,FALSE)=0),
  0,
   IF(
    OR($M91&gt;VLOOKUP($F$3,Data!$A$33:$CN$78,Data!CM$32,FALSE),VLOOKUP($F$3,Data!$A$33:$CN$78,Data!CN$32,FALSE)=0),
    $M91-VLOOKUP($F$3,Data!$A$33:$CN$78,Data!CM$32,FALSE),
    VLOOKUP($F$3,Data!$A$33:$CN$78,Data!CN$32,FALSE)-VLOOKUP($F$3,Data!$A$33:$CN$78,Data!CM$32,FALSE)
   )
 ),
 $M91*$I90)</f>
        <v>0</v>
      </c>
      <c r="J91" s="265"/>
      <c r="K91" s="265">
        <f>IF($W$12="Tier",M91-SUM(G91:J91),$M91*K90)</f>
        <v>55111.111111111109</v>
      </c>
      <c r="L91" s="265"/>
      <c r="M91" s="261">
        <f>+$O$83*F83*$F$6*31/$F$7</f>
        <v>55111.111111111109</v>
      </c>
      <c r="N91" s="261"/>
      <c r="O91" s="6"/>
      <c r="P91" s="6"/>
      <c r="Q91" s="6" t="s">
        <v>107</v>
      </c>
      <c r="R91" s="6"/>
      <c r="S91" s="6"/>
      <c r="T91" s="262" t="str">
        <f>IF(ISNUMBER(FIND("SDG&amp;E AL-TOU2",$F$3)),ROUND(MAX($X91:$AA91),0),"")</f>
        <v/>
      </c>
      <c r="U91" s="262"/>
      <c r="V91" s="261">
        <f>IF($W84="Subscription",$F$9,ROUND(MAX($X91:$AC91),0))</f>
        <v>266</v>
      </c>
      <c r="W91" s="262"/>
      <c r="X91" s="265">
        <f>VLOOKUP($F$5,Data!$A$9:$C$21,Data!$B$8,FALSE)*$O84*$X90</f>
        <v>0</v>
      </c>
      <c r="Y91" s="265"/>
      <c r="Z91" s="265">
        <f>VLOOKUP($F$5,Data!$A$9:$C$21,Data!$B$8,FALSE)*$O84*$Z90</f>
        <v>0</v>
      </c>
      <c r="AA91" s="265"/>
      <c r="AB91" s="265">
        <f>VLOOKUP($F$5,Data!$A$9:$C$21,Data!$B$8,FALSE)*$O84*$AB90</f>
        <v>266</v>
      </c>
      <c r="AC91" s="265"/>
      <c r="AD91" s="261"/>
      <c r="AE91" s="261"/>
      <c r="AF91" s="189"/>
    </row>
    <row r="92" spans="2:39" ht="16.5" hidden="1" outlineLevel="1" thickBot="1" x14ac:dyDescent="0.3">
      <c r="B92" s="187"/>
      <c r="C92" s="56" t="s">
        <v>100</v>
      </c>
      <c r="D92" s="56"/>
      <c r="E92" s="56"/>
      <c r="F92" s="56"/>
      <c r="G92" s="263">
        <f>IF($W$12="Tier",IF(VLOOKUP($F$3,Data!$A$33:$CN$78,Data!BT$32,FALSE)=1,VLOOKUP($F$3,Data!$A$33:$CN$78,Data!CE$32,FALSE),VLOOKUP($F$3,Data!$A$33:$CN$78,Data!CJ$32,FALSE)),IF(VLOOKUP($F$3,Data!$A$33:$CN$78,Data!BT$32,FALSE)=1,VLOOKUP($F$3,Data!$A$33:$CN$78,Data!$K$32,FALSE),VLOOKUP($F$3,Data!$A$33:$CN$78,Data!$N$32,FALSE)))</f>
        <v>0.20219999999999999</v>
      </c>
      <c r="H92" s="263"/>
      <c r="I92" s="263">
        <f>IF($W$12="Tier",IF(VLOOKUP($F$3,Data!$A$33:$CN$78,Data!BT$32,FALSE) = 1,VLOOKUP($F$3,Data!$A$33:$CN$78,Data!CF$32,FALSE),VLOOKUP($F$3,Data!$A$33:$CN$78,Data!CK$32,FALSE)),IF(VLOOKUP($F$3,Data!$A$33:$CN$78,Data!BT$32,FALSE) = 1,VLOOKUP($F$3,Data!$A$33:$CN$78,Data!$L$32,FALSE),VLOOKUP($F$3,Data!$A$33:$CN$78,Data!$O$32,FALSE)))</f>
        <v>0.13869999999999999</v>
      </c>
      <c r="J92" s="263"/>
      <c r="K92" s="263">
        <f>IF($W$12="Tier",IF(VLOOKUP($F$3,Data!$A$33:$CN$78,Data!BT$32,FALSE) = 1,VLOOKUP($F$3,Data!$A$33:$CN$78,Data!CG$32,FALSE),VLOOKUP($F$3,Data!$A$33:$CN$78,Data!CL$32,FALSE)),IF(VLOOKUP($F$3,Data!$A$33:$CN$78,Data!BT$32,FALSE) = 1,VLOOKUP($F$3,Data!$A$33:$CN$78,Data!$M$32,FALSE),VLOOKUP($F$3,Data!$A$33:$CN$78,Data!$P$32,FALSE)))</f>
        <v>0.1106</v>
      </c>
      <c r="L92" s="263"/>
      <c r="M92" s="266"/>
      <c r="N92" s="266"/>
      <c r="O92" s="6"/>
      <c r="P92" s="6"/>
      <c r="Q92" s="56" t="str">
        <f>IF($W84="Subscription","Subscription Rate ($/kW)","Demand Rate ($/kW)")</f>
        <v>Demand Rate ($/kW)</v>
      </c>
      <c r="R92" s="56"/>
      <c r="S92" s="56"/>
      <c r="T92" s="263" t="str">
        <f>IF(ISNUMBER(FIND("SDG&amp;E AL-TOU2",$F$3)),19.7,"")</f>
        <v/>
      </c>
      <c r="U92" s="263"/>
      <c r="V92" s="263">
        <f>IF(VLOOKUP($F$3,Data!$A$33:$CN$78,Data!BT$32,FALSE) = 1,VLOOKUP($F$3,Data!$A$33:$CN$78,Data!$C$32,FALSE),VLOOKUP($F$3,Data!$A$33:$CN$78,Data!$G$32,FALSE))</f>
        <v>3.8</v>
      </c>
      <c r="W92" s="263"/>
      <c r="X92" s="263">
        <f>IF(VLOOKUP($F$3,Data!$A$33:$CN$78,Data!BT$32,FALSE) = 1,VLOOKUP($F$3,Data!$A$33:$CN$78,Data!$D$32,FALSE),VLOOKUP($F$3,Data!$A$33:$CN$78,Data!$H$32,FALSE))</f>
        <v>7.65</v>
      </c>
      <c r="Y92" s="263"/>
      <c r="Z92" s="263">
        <f>IF(VLOOKUP($F$3,Data!$A$33:$CN$78,Data!BT$32,FALSE) = 1,VLOOKUP($F$3,Data!$A$33:$CN$78,Data!$E$32,FALSE),VLOOKUP($F$3,Data!$A$33:$CN$78,Data!$I$32,FALSE))</f>
        <v>0</v>
      </c>
      <c r="AA92" s="263"/>
      <c r="AB92" s="263">
        <f>IF(VLOOKUP($F$3,Data!$A$33:$CN$78,Data!BT$32,FALSE) = 1,VLOOKUP($F$3,Data!$A$33:$CN$78,Data!$F$32,FALSE),VLOOKUP($F$3,Data!$A$33:$CN$78,Data!$J$32,FALSE))</f>
        <v>0</v>
      </c>
      <c r="AC92" s="263"/>
      <c r="AD92" s="56"/>
      <c r="AE92" s="56"/>
      <c r="AF92" s="189"/>
    </row>
    <row r="93" spans="2:39" ht="15.75" hidden="1" outlineLevel="1" x14ac:dyDescent="0.25">
      <c r="B93" s="187"/>
      <c r="C93" s="92" t="s">
        <v>102</v>
      </c>
      <c r="D93" s="76"/>
      <c r="E93" s="76"/>
      <c r="F93" s="76"/>
      <c r="G93" s="270">
        <f>+G91*G92</f>
        <v>0</v>
      </c>
      <c r="H93" s="270"/>
      <c r="I93" s="269">
        <f>+I91*I92</f>
        <v>0</v>
      </c>
      <c r="J93" s="269"/>
      <c r="K93" s="270">
        <f>+K91*K92</f>
        <v>6095.2888888888892</v>
      </c>
      <c r="L93" s="270"/>
      <c r="M93" s="270">
        <f>SUM(G93:L93)</f>
        <v>6095.2888888888892</v>
      </c>
      <c r="N93" s="270"/>
      <c r="O93" s="6"/>
      <c r="P93" s="6"/>
      <c r="Q93" s="6" t="str">
        <f>IF($W84="Subscription","Subscription Fee","Demand Charge")</f>
        <v>Demand Charge</v>
      </c>
      <c r="R93" s="72"/>
      <c r="S93" s="72"/>
      <c r="T93" s="287" t="str">
        <f>IF(ISNUMBER(FIND("SDG&amp;E AL-TOU2",$F$3)),$T91*$T92,"")</f>
        <v/>
      </c>
      <c r="U93" s="287"/>
      <c r="V93" s="293">
        <f>+V91*V92</f>
        <v>1010.8</v>
      </c>
      <c r="W93" s="293"/>
      <c r="X93" s="293">
        <f>+X91*X92</f>
        <v>0</v>
      </c>
      <c r="Y93" s="293"/>
      <c r="Z93" s="293">
        <f>+Z91*Z92</f>
        <v>0</v>
      </c>
      <c r="AA93" s="293"/>
      <c r="AB93" s="293">
        <f>+AB91*AB92</f>
        <v>0</v>
      </c>
      <c r="AC93" s="293"/>
      <c r="AD93" s="293">
        <f>SUM(T93:AC93)</f>
        <v>1010.8</v>
      </c>
      <c r="AE93" s="293"/>
      <c r="AF93" s="189"/>
    </row>
    <row r="94" spans="2:39" ht="15.75" hidden="1" outlineLevel="1" x14ac:dyDescent="0.25">
      <c r="B94" s="190"/>
      <c r="C94" s="174"/>
      <c r="D94" s="175"/>
      <c r="E94" s="175"/>
      <c r="F94" s="175"/>
      <c r="G94" s="176"/>
      <c r="H94" s="176"/>
      <c r="I94" s="176"/>
      <c r="J94" s="176"/>
      <c r="K94" s="176"/>
      <c r="L94" s="176"/>
      <c r="M94" s="176"/>
      <c r="N94" s="176"/>
      <c r="O94" s="177"/>
      <c r="P94" s="177"/>
      <c r="Q94" s="177"/>
      <c r="R94" s="177"/>
      <c r="S94" s="177"/>
      <c r="T94" s="177"/>
      <c r="U94" s="177"/>
      <c r="V94" s="178"/>
      <c r="W94" s="178"/>
      <c r="X94" s="178"/>
      <c r="Y94" s="178"/>
      <c r="Z94" s="178"/>
      <c r="AA94" s="178"/>
      <c r="AB94" s="178"/>
      <c r="AC94" s="178"/>
      <c r="AD94" s="178"/>
      <c r="AE94" s="178"/>
      <c r="AF94" s="191"/>
    </row>
    <row r="95" spans="2:39" ht="15.75" collapsed="1" x14ac:dyDescent="0.25">
      <c r="B95" s="192" t="s">
        <v>190</v>
      </c>
      <c r="C95" s="6"/>
      <c r="D95" s="6"/>
      <c r="E95" s="165" t="s">
        <v>172</v>
      </c>
      <c r="F95" s="167">
        <v>80</v>
      </c>
      <c r="G95" s="169" t="s">
        <v>173</v>
      </c>
      <c r="H95" s="6"/>
      <c r="I95" s="165" t="s">
        <v>222</v>
      </c>
      <c r="J95" s="294" t="s">
        <v>367</v>
      </c>
      <c r="K95" s="294"/>
      <c r="L95" s="294"/>
      <c r="M95" s="6"/>
      <c r="N95" s="165" t="s">
        <v>205</v>
      </c>
      <c r="O95" s="170">
        <v>1</v>
      </c>
      <c r="P95" s="168" t="s">
        <v>206</v>
      </c>
      <c r="Q95" s="6"/>
      <c r="R95" s="76"/>
      <c r="S95" s="72"/>
      <c r="T95" s="72"/>
      <c r="U95" s="72"/>
      <c r="V95" s="171" t="str">
        <f>+"August Monthly Bill (with taxes/fees) = "</f>
        <v xml:space="preserve">August Monthly Bill (with taxes/fees) = </v>
      </c>
      <c r="W95" s="172">
        <f>(AD105+M105+VLOOKUP($F$3,Data!$A$33:$CA$78,2))*(1+$F$8)</f>
        <v>7430.4600555555562</v>
      </c>
      <c r="X95" s="72"/>
      <c r="Y95" s="68"/>
      <c r="Z95" s="223"/>
      <c r="AA95" s="239"/>
      <c r="AB95" s="239" t="str">
        <f>"Cost = $"&amp;FIXED(W95/M103,2) &amp; "/kWh"</f>
        <v>Cost = $0.13/kWh</v>
      </c>
      <c r="AC95" s="222" t="s">
        <v>344</v>
      </c>
      <c r="AD95" s="173" t="str">
        <f>"$"&amp; FIXED(W95*O95/M103,2)&amp;"/mi."</f>
        <v>$0.13/mi.</v>
      </c>
      <c r="AE95" s="72"/>
      <c r="AF95" s="189"/>
      <c r="AH95" s="88"/>
      <c r="AI95" s="23"/>
      <c r="AK95" s="102"/>
      <c r="AL95" s="23"/>
    </row>
    <row r="96" spans="2:39" s="138" customFormat="1" hidden="1" outlineLevel="1" x14ac:dyDescent="0.2">
      <c r="B96" s="186" t="s">
        <v>122</v>
      </c>
      <c r="C96" s="240">
        <f>ROUND(2*$E96/$G96,1)/2</f>
        <v>0.6</v>
      </c>
      <c r="D96" s="156" t="s">
        <v>120</v>
      </c>
      <c r="E96" s="245">
        <f>+$O95*$F95*$M96/($F$7*$Q96)</f>
        <v>4.6783625730994149</v>
      </c>
      <c r="F96" s="156" t="s">
        <v>119</v>
      </c>
      <c r="G96" s="246">
        <f>+VLOOKUP($J95,Data!$Q$9:$BQ$17,Data!$BP$8,FALSE)</f>
        <v>8</v>
      </c>
      <c r="H96" s="143" t="s">
        <v>116</v>
      </c>
      <c r="I96" s="155">
        <f>IF(VLOOKUP($F$4,Data!$G$9:$L$16,Data!$L$8,FALSE)&lt;1,VLOOKUP($F$4,Data!$G$9:$L$16,Data!$L$8,FALSE),1)</f>
        <v>1</v>
      </c>
      <c r="J96" s="143" t="s">
        <v>117</v>
      </c>
      <c r="K96" s="240">
        <f>IF(VLOOKUP($F$4,Data!$G$9:$L$16,Data!$L$8,FALSE)="software",IF($C96&gt;0.75,1,$C96+0.1),1)</f>
        <v>0.7</v>
      </c>
      <c r="L96" s="143" t="s">
        <v>109</v>
      </c>
      <c r="M96" s="246">
        <f>+VLOOKUP($F$4,Data!$G$9:$L$16,Data!$I$8)</f>
        <v>1</v>
      </c>
      <c r="N96" s="143" t="s">
        <v>108</v>
      </c>
      <c r="O96" s="247">
        <f>INT($F$6/$M96)+IF(($F$6/$M96-INT($F$6/$M96))&gt;0,1,0)</f>
        <v>20</v>
      </c>
      <c r="P96" s="143" t="s">
        <v>121</v>
      </c>
      <c r="Q96" s="143">
        <f>VLOOKUP($F$5,Data!$A$9:$C$19,Data!$B$8,FALSE)</f>
        <v>19</v>
      </c>
      <c r="R96" s="144" t="s">
        <v>25</v>
      </c>
      <c r="S96" s="247">
        <f>VLOOKUP($F$3,Data!$A$33:$CN$78,Data!$CB$32,FALSE)</f>
        <v>300</v>
      </c>
      <c r="T96" s="144" t="s">
        <v>26</v>
      </c>
      <c r="U96" s="247">
        <f>IF(VLOOKUP($F$3,Data!$A$33:$CN$78,Data!$CC$32)="N/A",10000000,VLOOKUP($F$3,Data!$A$33:$CN$78,Data!$CC$32,FALSE))</f>
        <v>500</v>
      </c>
      <c r="V96" s="144" t="s">
        <v>40</v>
      </c>
      <c r="W96" s="158" t="str">
        <f>VLOOKUP($F$3,Data!$A$33:$CN$78,Data!CD$32,FALSE)</f>
        <v>TOU</v>
      </c>
      <c r="X96" s="157" t="s">
        <v>144</v>
      </c>
      <c r="Y96" s="248">
        <f>VLOOKUP($F$3,Data!$A$33:$CN$78,Data!$BZ$32)</f>
        <v>3</v>
      </c>
      <c r="Z96" s="144"/>
      <c r="AA96" s="144"/>
      <c r="AB96" s="144"/>
      <c r="AC96" s="144"/>
      <c r="AD96" s="144"/>
      <c r="AE96" s="144"/>
      <c r="AF96" s="255"/>
      <c r="AG96" s="140"/>
      <c r="AH96" s="140"/>
      <c r="AI96" s="137"/>
      <c r="AK96" s="139"/>
      <c r="AL96" s="141"/>
      <c r="AM96" s="141"/>
    </row>
    <row r="97" spans="2:39" ht="15.75" hidden="1" outlineLevel="1" x14ac:dyDescent="0.25">
      <c r="B97" s="187"/>
      <c r="C97" s="130" t="s">
        <v>222</v>
      </c>
      <c r="D97" s="65"/>
      <c r="E97" s="65"/>
      <c r="F97" s="6"/>
      <c r="G97" s="6"/>
      <c r="H97" s="66" t="s">
        <v>74</v>
      </c>
      <c r="I97" s="66" t="s">
        <v>75</v>
      </c>
      <c r="J97" s="66" t="s">
        <v>76</v>
      </c>
      <c r="K97" s="66" t="s">
        <v>77</v>
      </c>
      <c r="L97" s="66" t="s">
        <v>78</v>
      </c>
      <c r="M97" s="66" t="s">
        <v>79</v>
      </c>
      <c r="N97" s="66" t="s">
        <v>80</v>
      </c>
      <c r="O97" s="66" t="s">
        <v>81</v>
      </c>
      <c r="P97" s="66" t="s">
        <v>82</v>
      </c>
      <c r="Q97" s="66" t="s">
        <v>83</v>
      </c>
      <c r="R97" s="66" t="s">
        <v>84</v>
      </c>
      <c r="S97" s="66" t="s">
        <v>85</v>
      </c>
      <c r="T97" s="66" t="s">
        <v>86</v>
      </c>
      <c r="U97" s="66" t="s">
        <v>87</v>
      </c>
      <c r="V97" s="66" t="s">
        <v>88</v>
      </c>
      <c r="W97" s="66" t="s">
        <v>89</v>
      </c>
      <c r="X97" s="66" t="s">
        <v>90</v>
      </c>
      <c r="Y97" s="66" t="s">
        <v>91</v>
      </c>
      <c r="Z97" s="66" t="s">
        <v>92</v>
      </c>
      <c r="AA97" s="66" t="s">
        <v>93</v>
      </c>
      <c r="AB97" s="66" t="s">
        <v>94</v>
      </c>
      <c r="AC97" s="66" t="s">
        <v>95</v>
      </c>
      <c r="AD97" s="66" t="s">
        <v>96</v>
      </c>
      <c r="AE97" s="66" t="s">
        <v>97</v>
      </c>
      <c r="AF97" s="188"/>
      <c r="AI97" s="23"/>
      <c r="AJ97" s="23"/>
      <c r="AK97" s="102"/>
    </row>
    <row r="98" spans="2:39" ht="15.75" hidden="1" outlineLevel="1" x14ac:dyDescent="0.25">
      <c r="B98" s="187"/>
      <c r="C98" s="295" t="str">
        <f>J95</f>
        <v>Late Evening (10p-6a)</v>
      </c>
      <c r="D98" s="296"/>
      <c r="E98" s="296"/>
      <c r="F98" s="296"/>
      <c r="G98" s="297"/>
      <c r="H98" s="151">
        <f>$I96*$K96*VLOOKUP($C98,Data!$Q$9:$BO$17,Data!T$8,FALSE)</f>
        <v>0</v>
      </c>
      <c r="I98" s="151">
        <f>$I96*$K96*VLOOKUP($C98,Data!$Q$9:$BO$17,Data!U$8,FALSE)</f>
        <v>0</v>
      </c>
      <c r="J98" s="151">
        <f>$I96*$K96*VLOOKUP($C98,Data!$Q$9:$BO$17,Data!V$8,FALSE)</f>
        <v>0</v>
      </c>
      <c r="K98" s="151">
        <f>$I96*$K96*VLOOKUP($C98,Data!$Q$9:$BO$17,Data!W$8,FALSE)</f>
        <v>0</v>
      </c>
      <c r="L98" s="151">
        <f>$I96*$K96*VLOOKUP($C98,Data!$Q$9:$BO$17,Data!X$8,FALSE)</f>
        <v>0</v>
      </c>
      <c r="M98" s="151">
        <f>$I96*$K96*VLOOKUP($C98,Data!$Q$9:$BO$17,Data!Y$8,FALSE)</f>
        <v>0</v>
      </c>
      <c r="N98" s="151">
        <f>$I96*$K96*VLOOKUP($C98,Data!$Q$9:$BO$17,Data!Z$8,FALSE)</f>
        <v>0</v>
      </c>
      <c r="O98" s="151">
        <f>$I96*$K96*VLOOKUP($C98,Data!$Q$9:$BO$17,Data!AA$8,FALSE)</f>
        <v>0</v>
      </c>
      <c r="P98" s="151">
        <f>$I96*$K96*VLOOKUP($C98,Data!$Q$9:$BO$17,Data!AB$8,FALSE)</f>
        <v>0</v>
      </c>
      <c r="Q98" s="151">
        <f>$I96*$K96*VLOOKUP($C98,Data!$Q$9:$BO$17,Data!AC$8,FALSE)</f>
        <v>0</v>
      </c>
      <c r="R98" s="151">
        <f>$I96*$K96*VLOOKUP($C98,Data!$Q$9:$BO$17,Data!AD$8,FALSE)</f>
        <v>0.7</v>
      </c>
      <c r="S98" s="151">
        <f>$I96*$K96*VLOOKUP($C98,Data!$Q$9:$BO$17,Data!AE$8,FALSE)</f>
        <v>0.7</v>
      </c>
      <c r="T98" s="151">
        <f>$I96*$K96*VLOOKUP($C98,Data!$Q$9:$BO$17,Data!AF$8,FALSE)</f>
        <v>0.7</v>
      </c>
      <c r="U98" s="151">
        <f>$I96*$K96*VLOOKUP($C98,Data!$Q$9:$BO$17,Data!AG$8,FALSE)</f>
        <v>0.7</v>
      </c>
      <c r="V98" s="151">
        <f>$I96*$K96*VLOOKUP($C98,Data!$Q$9:$BO$17,Data!AH$8,FALSE)</f>
        <v>0.7</v>
      </c>
      <c r="W98" s="151">
        <f>$I96*$K96*VLOOKUP($C98,Data!$Q$9:$BO$17,Data!AI$8,FALSE)</f>
        <v>0.7</v>
      </c>
      <c r="X98" s="151">
        <f>$I96*$K96*VLOOKUP($C98,Data!$Q$9:$BO$17,Data!AJ$8,FALSE)</f>
        <v>0.7</v>
      </c>
      <c r="Y98" s="151">
        <f>$I96*$K96*VLOOKUP($C98,Data!$Q$9:$BO$17,Data!AK$8,FALSE)</f>
        <v>0.7</v>
      </c>
      <c r="Z98" s="151">
        <f>$I96*$K96*VLOOKUP($C98,Data!$Q$9:$BO$17,Data!AL$8,FALSE)</f>
        <v>0</v>
      </c>
      <c r="AA98" s="151">
        <f>$I96*$K96*VLOOKUP($C98,Data!$Q$9:$BO$17,Data!AM$8,FALSE)</f>
        <v>0</v>
      </c>
      <c r="AB98" s="151">
        <f>$I96*$K96*VLOOKUP($C98,Data!$Q$9:$BO$17,Data!AN$8,FALSE)</f>
        <v>0</v>
      </c>
      <c r="AC98" s="151">
        <f>$I96*$K96*VLOOKUP($C98,Data!$Q$9:$BO$17,Data!AO$8,FALSE)</f>
        <v>0</v>
      </c>
      <c r="AD98" s="151">
        <f>$I96*$K96*VLOOKUP($C98,Data!$Q$9:$BO$17,Data!AP$8,FALSE)</f>
        <v>0</v>
      </c>
      <c r="AE98" s="151">
        <f>$I96*$K96*VLOOKUP($C98,Data!$Q$9:$BO$17,Data!AQ$8,FALSE)</f>
        <v>0</v>
      </c>
      <c r="AF98" s="189"/>
      <c r="AI98" s="68"/>
    </row>
    <row r="99" spans="2:39" ht="15.75" hidden="1" outlineLevel="1" x14ac:dyDescent="0.25">
      <c r="B99" s="187"/>
      <c r="C99" s="126" t="s">
        <v>191</v>
      </c>
      <c r="D99" s="6"/>
      <c r="E99" s="6"/>
      <c r="F99" s="6"/>
      <c r="G99" s="6"/>
      <c r="H99" s="133" t="str">
        <f>IF(VLOOKUP($F$3,Data!$A$33:$BY$78,Data!$BU$32,FALSE)=1,VLOOKUP($F$3,Data!$A$33:$BM$78,Data!R$32,FALSE),VLOOKUP($F$3,Data!$A$33:$BM$78,Data!AP$32,FALSE))</f>
        <v>m</v>
      </c>
      <c r="I99" s="133" t="str">
        <f>IF(VLOOKUP($F$3,Data!$A$33:$BY$78,Data!$BU$32,FALSE)=1,VLOOKUP($F$3,Data!$A$33:$BM$78,Data!S$32,FALSE),VLOOKUP($F$3,Data!$A$33:$BM$78,Data!AQ$32,FALSE))</f>
        <v>m</v>
      </c>
      <c r="J99" s="133" t="str">
        <f>IF(VLOOKUP($F$3,Data!$A$33:$BY$78,Data!$BU$32,FALSE)=1,VLOOKUP($F$3,Data!$A$33:$BM$78,Data!T$32,FALSE),VLOOKUP($F$3,Data!$A$33:$BM$78,Data!AR$32,FALSE))</f>
        <v>p</v>
      </c>
      <c r="K99" s="133" t="str">
        <f>IF(VLOOKUP($F$3,Data!$A$33:$BY$78,Data!$BU$32,FALSE)=1,VLOOKUP($F$3,Data!$A$33:$BM$78,Data!U$32,FALSE),VLOOKUP($F$3,Data!$A$33:$BM$78,Data!AS$32,FALSE))</f>
        <v>p</v>
      </c>
      <c r="L99" s="133" t="str">
        <f>IF(VLOOKUP($F$3,Data!$A$33:$BY$78,Data!$BU$32,FALSE)=1,VLOOKUP($F$3,Data!$A$33:$BM$78,Data!V$32,FALSE),VLOOKUP($F$3,Data!$A$33:$BM$78,Data!AT$32,FALSE))</f>
        <v>p</v>
      </c>
      <c r="M99" s="133" t="str">
        <f>IF(VLOOKUP($F$3,Data!$A$33:$BY$78,Data!$BU$32,FALSE)=1,VLOOKUP($F$3,Data!$A$33:$BM$78,Data!W$32,FALSE),VLOOKUP($F$3,Data!$A$33:$BM$78,Data!AU$32,FALSE))</f>
        <v>p</v>
      </c>
      <c r="N99" s="133" t="str">
        <f>IF(VLOOKUP($F$3,Data!$A$33:$BY$78,Data!$BU$32,FALSE)=1,VLOOKUP($F$3,Data!$A$33:$BM$78,Data!X$32,FALSE),VLOOKUP($F$3,Data!$A$33:$BM$78,Data!AV$32,FALSE))</f>
        <v>p</v>
      </c>
      <c r="O99" s="133" t="str">
        <f>IF(VLOOKUP($F$3,Data!$A$33:$BY$78,Data!$BU$32,FALSE)=1,VLOOKUP($F$3,Data!$A$33:$BM$78,Data!Y$32,FALSE),VLOOKUP($F$3,Data!$A$33:$BM$78,Data!AW$32,FALSE))</f>
        <v>p</v>
      </c>
      <c r="P99" s="133" t="str">
        <f>IF(VLOOKUP($F$3,Data!$A$33:$BY$78,Data!$BU$32,FALSE)=1,VLOOKUP($F$3,Data!$A$33:$BM$78,Data!Z$32,FALSE),VLOOKUP($F$3,Data!$A$33:$BM$78,Data!AX$32,FALSE))</f>
        <v>m</v>
      </c>
      <c r="Q99" s="133" t="str">
        <f>IF(VLOOKUP($F$3,Data!$A$33:$BY$78,Data!$BU$32,FALSE)=1,VLOOKUP($F$3,Data!$A$33:$BM$78,Data!AA$32,FALSE),VLOOKUP($F$3,Data!$A$33:$BM$78,Data!AY$32,FALSE))</f>
        <v>m</v>
      </c>
      <c r="R99" s="133" t="str">
        <f>IF(VLOOKUP($F$3,Data!$A$33:$BY$78,Data!$BU$32,FALSE)=1,VLOOKUP($F$3,Data!$A$33:$BM$78,Data!AB$32,FALSE),VLOOKUP($F$3,Data!$A$33:$BM$78,Data!AZ$32,FALSE))</f>
        <v>o</v>
      </c>
      <c r="S99" s="133" t="str">
        <f>IF(VLOOKUP($F$3,Data!$A$33:$BY$78,Data!$BU$32,FALSE)=1,VLOOKUP($F$3,Data!$A$33:$BM$78,Data!AC$32,FALSE),VLOOKUP($F$3,Data!$A$33:$BM$78,Data!BA$32,FALSE))</f>
        <v>o</v>
      </c>
      <c r="T99" s="133" t="str">
        <f>IF(VLOOKUP($F$3,Data!$A$33:$BY$78,Data!$BU$32,FALSE)=1,VLOOKUP($F$3,Data!$A$33:$BM$78,Data!AD$32,FALSE),VLOOKUP($F$3,Data!$A$33:$BM$78,Data!BB$32,FALSE))</f>
        <v>o</v>
      </c>
      <c r="U99" s="133" t="str">
        <f>IF(VLOOKUP($F$3,Data!$A$33:$BY$78,Data!$BU$32,FALSE)=1,VLOOKUP($F$3,Data!$A$33:$BM$78,Data!AE$32,FALSE),VLOOKUP($F$3,Data!$A$33:$BM$78,Data!BC$32,FALSE))</f>
        <v>o</v>
      </c>
      <c r="V99" s="133" t="str">
        <f>IF(VLOOKUP($F$3,Data!$A$33:$BY$78,Data!$BU$32,FALSE)=1,VLOOKUP($F$3,Data!$A$33:$BM$78,Data!AF$32,FALSE),VLOOKUP($F$3,Data!$A$33:$BM$78,Data!BD$32,FALSE))</f>
        <v>o</v>
      </c>
      <c r="W99" s="133" t="str">
        <f>IF(VLOOKUP($F$3,Data!$A$33:$BY$78,Data!$BU$32,FALSE)=1,VLOOKUP($F$3,Data!$A$33:$BM$78,Data!AG$32,FALSE),VLOOKUP($F$3,Data!$A$33:$BM$78,Data!BE$32,FALSE))</f>
        <v>o</v>
      </c>
      <c r="X99" s="133" t="str">
        <f>IF(VLOOKUP($F$3,Data!$A$33:$BY$78,Data!$BU$32,FALSE)=1,VLOOKUP($F$3,Data!$A$33:$BM$78,Data!AH$32,FALSE),VLOOKUP($F$3,Data!$A$33:$BM$78,Data!BF$32,FALSE))</f>
        <v>o</v>
      </c>
      <c r="Y99" s="133" t="str">
        <f>IF(VLOOKUP($F$3,Data!$A$33:$BY$78,Data!$BU$32,FALSE)=1,VLOOKUP($F$3,Data!$A$33:$BM$78,Data!AI$32,FALSE),VLOOKUP($F$3,Data!$A$33:$BM$78,Data!BG$32,FALSE))</f>
        <v>o</v>
      </c>
      <c r="Z99" s="133" t="str">
        <f>IF(VLOOKUP($F$3,Data!$A$33:$BY$78,Data!$BU$32,FALSE)=1,VLOOKUP($F$3,Data!$A$33:$BM$78,Data!AJ$32,FALSE),VLOOKUP($F$3,Data!$A$33:$BM$78,Data!BH$32,FALSE))</f>
        <v>o</v>
      </c>
      <c r="AA99" s="133" t="str">
        <f>IF(VLOOKUP($F$3,Data!$A$33:$BY$78,Data!$BU$32,FALSE)=1,VLOOKUP($F$3,Data!$A$33:$BM$78,Data!AK$32,FALSE),VLOOKUP($F$3,Data!$A$33:$BM$78,Data!BI$32,FALSE))</f>
        <v>o</v>
      </c>
      <c r="AB99" s="133" t="str">
        <f>IF(VLOOKUP($F$3,Data!$A$33:$BY$78,Data!$BU$32,FALSE)=1,VLOOKUP($F$3,Data!$A$33:$BM$78,Data!AL$32,FALSE),VLOOKUP($F$3,Data!$A$33:$BM$78,Data!BJ$32,FALSE))</f>
        <v>o</v>
      </c>
      <c r="AC99" s="133" t="str">
        <f>IF(VLOOKUP($F$3,Data!$A$33:$BY$78,Data!$BU$32,FALSE)=1,VLOOKUP($F$3,Data!$A$33:$BM$78,Data!AM$32,FALSE),VLOOKUP($F$3,Data!$A$33:$BM$78,Data!BK$32,FALSE))</f>
        <v>o</v>
      </c>
      <c r="AD99" s="133" t="str">
        <f>IF(VLOOKUP($F$3,Data!$A$33:$BY$78,Data!$BU$32,FALSE)=1,VLOOKUP($F$3,Data!$A$33:$BM$78,Data!AN$32,FALSE),VLOOKUP($F$3,Data!$A$33:$BM$78,Data!BL$32,FALSE))</f>
        <v>o</v>
      </c>
      <c r="AE99" s="133" t="str">
        <f>IF(VLOOKUP($F$3,Data!$A$33:$BY$78,Data!$BU$32,FALSE)=1,VLOOKUP($F$3,Data!$A$33:$BM$78,Data!AO$32,FALSE),VLOOKUP($F$3,Data!$A$33:$BM$78,Data!BM$32,FALSE))</f>
        <v>o</v>
      </c>
      <c r="AF99" s="189"/>
      <c r="AI99" s="23"/>
      <c r="AJ99" s="23"/>
      <c r="AK99" s="102"/>
    </row>
    <row r="100" spans="2:39" ht="15.75" hidden="1" outlineLevel="1" x14ac:dyDescent="0.25">
      <c r="B100" s="187"/>
      <c r="C100" s="126"/>
      <c r="D100" s="6"/>
      <c r="E100" s="6"/>
      <c r="F100" s="6"/>
      <c r="G100" s="6"/>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89"/>
      <c r="AI100" s="23"/>
      <c r="AJ100" s="23"/>
      <c r="AK100" s="102"/>
    </row>
    <row r="101" spans="2:39" ht="16.5" hidden="1" outlineLevel="1" thickBot="1" x14ac:dyDescent="0.3">
      <c r="B101" s="187"/>
      <c r="C101" s="73" t="s">
        <v>192</v>
      </c>
      <c r="D101" s="73"/>
      <c r="E101" s="73"/>
      <c r="F101" s="73"/>
      <c r="G101" s="259" t="str">
        <f>IF($W$12="Tier","Tier 1","On-Peak")</f>
        <v>On-Peak</v>
      </c>
      <c r="H101" s="259"/>
      <c r="I101" s="259" t="str">
        <f>IF($W$12="Tier","Tier 2","Mid-Peak")</f>
        <v>Mid-Peak</v>
      </c>
      <c r="J101" s="259"/>
      <c r="K101" s="259" t="str">
        <f>IF($W$12="Tier","Tier 3","Off-Peak")</f>
        <v>Off-Peak</v>
      </c>
      <c r="L101" s="259"/>
      <c r="M101" s="259" t="s">
        <v>12</v>
      </c>
      <c r="N101" s="259"/>
      <c r="O101" s="6"/>
      <c r="P101" s="6"/>
      <c r="Q101" s="243" t="str">
        <f>IF($W12="Subscription","August Subscription","August Demand")</f>
        <v>August Demand</v>
      </c>
      <c r="R101" s="243"/>
      <c r="S101" s="236"/>
      <c r="T101" s="259" t="str">
        <f>IF(ISNUMBER(FIND("SDG&amp;E AL-TOU2",$F$3)),"TOU Demand","")</f>
        <v/>
      </c>
      <c r="U101" s="259"/>
      <c r="V101" s="259" t="str">
        <f>IF($W96="Subscription","Subscription","Maximum")</f>
        <v>Maximum</v>
      </c>
      <c r="W101" s="259"/>
      <c r="X101" s="259" t="s">
        <v>60</v>
      </c>
      <c r="Y101" s="259"/>
      <c r="Z101" s="259" t="s">
        <v>61</v>
      </c>
      <c r="AA101" s="259"/>
      <c r="AB101" s="259" t="s">
        <v>55</v>
      </c>
      <c r="AC101" s="259"/>
      <c r="AD101" s="259" t="s">
        <v>12</v>
      </c>
      <c r="AE101" s="259"/>
      <c r="AF101" s="189"/>
    </row>
    <row r="102" spans="2:39" ht="15" hidden="1" customHeight="1" outlineLevel="1" x14ac:dyDescent="0.25">
      <c r="B102" s="187"/>
      <c r="C102" s="6" t="s">
        <v>103</v>
      </c>
      <c r="D102" s="6"/>
      <c r="E102" s="6"/>
      <c r="F102" s="6"/>
      <c r="G102" s="260">
        <f>SUMIF($H99:$AE99,"p",$H98:$AE98)/SUM($H98:$AE98)</f>
        <v>0</v>
      </c>
      <c r="H102" s="260"/>
      <c r="I102" s="260">
        <f>SUMIF($H99:$AE99,"m",$H98:$AE98)/SUM($H98:$AE98)</f>
        <v>0</v>
      </c>
      <c r="J102" s="260"/>
      <c r="K102" s="284">
        <f>SUMIF($H99:$AE99,"o",$H98:$AE98)/SUM($H98:$AE98)</f>
        <v>1</v>
      </c>
      <c r="L102" s="284"/>
      <c r="M102" s="6"/>
      <c r="N102" s="6"/>
      <c r="O102" s="6"/>
      <c r="P102" s="6"/>
      <c r="Q102" s="6" t="s">
        <v>104</v>
      </c>
      <c r="R102" s="6"/>
      <c r="S102" s="6"/>
      <c r="T102" s="291" t="str">
        <f>IF(ISNUMBER(FIND("SDG&amp;E AL-TOU2",$F$3)),MAX($X102:$AA102),"")</f>
        <v/>
      </c>
      <c r="U102" s="291"/>
      <c r="V102" s="260">
        <f>IF($W96="Subscription","",MAX($X102:$AC102))</f>
        <v>0.7</v>
      </c>
      <c r="W102" s="260"/>
      <c r="X102" s="284">
        <f t="array" ref="X102">MAX(IF($H99:$AE99="p",$H98:$AE98))</f>
        <v>0</v>
      </c>
      <c r="Y102" s="284"/>
      <c r="Z102" s="284">
        <f t="array" ref="Z102">MAX(IF($H99:$AE99="m",$H98:$AE98))</f>
        <v>0</v>
      </c>
      <c r="AA102" s="284"/>
      <c r="AB102" s="284">
        <f t="array" ref="AB102">MAX(IF($H99:$AE99="o",$H98:$AE98))</f>
        <v>0.7</v>
      </c>
      <c r="AC102" s="284"/>
      <c r="AD102" s="6"/>
      <c r="AE102" s="6"/>
      <c r="AF102" s="189"/>
    </row>
    <row r="103" spans="2:39" ht="15.75" hidden="1" outlineLevel="1" x14ac:dyDescent="0.25">
      <c r="B103" s="187"/>
      <c r="C103" s="6" t="s">
        <v>101</v>
      </c>
      <c r="D103" s="6"/>
      <c r="E103" s="6"/>
      <c r="F103" s="6"/>
      <c r="G103" s="265">
        <f>IF( $W$12="Tier",IF(OR(VLOOKUP($F$3,Data!$A$33:$CN$78,Data!CM$32,FALSE)&gt;$M103,VLOOKUP($F$3,Data!$A$33:$CN$78,Data!CM$32,FALSE)=0),$M103,VLOOKUP($F$3,Data!$A$33:$CN$78,Data!CM$32,FALSE)),$M103*$G102)</f>
        <v>0</v>
      </c>
      <c r="H103" s="265"/>
      <c r="I103" s="265">
        <f>IF(
 $W$12="Tier",
 IF(
  OR($M103&lt;VLOOKUP($F$3,Data!$A$33:$CN$78,Data!CM$32,FALSE),VLOOKUP($F$3,Data!$A$33:$CN$78,Data!CM$32,FALSE)=0),
  0,
   IF(
    OR($M103&gt;VLOOKUP($F$3,Data!$A$33:$CN$78,Data!CM$32,FALSE),VLOOKUP($F$3,Data!$A$33:$CN$78,Data!CN$32,FALSE)=0),
    $M103-VLOOKUP($F$3,Data!$A$33:$CN$78,Data!CM$32,FALSE),
    VLOOKUP($F$3,Data!$A$33:$CN$78,Data!CN$32,FALSE)-VLOOKUP($F$3,Data!$A$33:$CN$78,Data!CM$32,FALSE)
   )
 ),
 $M103*$I102)</f>
        <v>0</v>
      </c>
      <c r="J103" s="265"/>
      <c r="K103" s="265">
        <f>IF($W$12="Tier",M103-SUM(G103:J103),$M103*K102)</f>
        <v>55111.111111111109</v>
      </c>
      <c r="L103" s="265"/>
      <c r="M103" s="261">
        <f>+$O$95*F95*$F$6*31/$F$7</f>
        <v>55111.111111111109</v>
      </c>
      <c r="N103" s="261"/>
      <c r="O103" s="6"/>
      <c r="P103" s="6"/>
      <c r="Q103" s="6" t="s">
        <v>107</v>
      </c>
      <c r="R103" s="6"/>
      <c r="S103" s="6"/>
      <c r="T103" s="262" t="str">
        <f>IF(ISNUMBER(FIND("SDG&amp;E AL-TOU2",$F$3)),ROUND(MAX($X103:$AA103),0),"")</f>
        <v/>
      </c>
      <c r="U103" s="262"/>
      <c r="V103" s="261">
        <f>IF($W96="Subscription",$F$9,ROUND(MAX($X103:$AC103),0))</f>
        <v>266</v>
      </c>
      <c r="W103" s="262"/>
      <c r="X103" s="265">
        <f>VLOOKUP($F$5,Data!$A$9:$C$21,Data!$B$8,FALSE)*$O96*$X102</f>
        <v>0</v>
      </c>
      <c r="Y103" s="265"/>
      <c r="Z103" s="265">
        <f>VLOOKUP($F$5,Data!$A$9:$C$21,Data!$B$8,FALSE)*$O96*$Z102</f>
        <v>0</v>
      </c>
      <c r="AA103" s="265"/>
      <c r="AB103" s="265">
        <f>VLOOKUP($F$5,Data!$A$9:$C$21,Data!$B$8,FALSE)*$O96*$AB102</f>
        <v>266</v>
      </c>
      <c r="AC103" s="265"/>
      <c r="AD103" s="261"/>
      <c r="AE103" s="261"/>
      <c r="AF103" s="189"/>
    </row>
    <row r="104" spans="2:39" ht="16.5" hidden="1" outlineLevel="1" thickBot="1" x14ac:dyDescent="0.3">
      <c r="B104" s="187"/>
      <c r="C104" s="56" t="s">
        <v>100</v>
      </c>
      <c r="D104" s="56"/>
      <c r="E104" s="56"/>
      <c r="F104" s="56"/>
      <c r="G104" s="263">
        <f>IF($W$12="Tier",IF(VLOOKUP($F$3,Data!$A$33:$CN$78,Data!BU$32,FALSE)=1,VLOOKUP($F$3,Data!$A$33:$CN$78,Data!CE$32,FALSE),VLOOKUP($F$3,Data!$A$33:$CN$78,Data!CJ$32,FALSE)),IF(VLOOKUP($F$3,Data!$A$33:$CN$78,Data!BU$32,FALSE)=1,VLOOKUP($F$3,Data!$A$33:$CN$78,Data!$K$32,FALSE),VLOOKUP($F$3,Data!$A$33:$CN$78,Data!$N$32,FALSE)))</f>
        <v>0.20219999999999999</v>
      </c>
      <c r="H104" s="263"/>
      <c r="I104" s="263">
        <f>IF($W$12="Tier",IF(VLOOKUP($F$3,Data!$A$33:$CN$78,Data!BU$32,FALSE) = 1,VLOOKUP($F$3,Data!$A$33:$CN$78,Data!CF$32,FALSE),VLOOKUP($F$3,Data!$A$33:$CN$78,Data!CK$32,FALSE)),IF(VLOOKUP($F$3,Data!$A$33:$CN$78,Data!BU$32,FALSE) = 1,VLOOKUP($F$3,Data!$A$33:$CN$78,Data!$L$32,FALSE),VLOOKUP($F$3,Data!$A$33:$CN$78,Data!$O$32,FALSE)))</f>
        <v>0.13869999999999999</v>
      </c>
      <c r="J104" s="263"/>
      <c r="K104" s="263">
        <f>IF($W$12="Tier",IF(VLOOKUP($F$3,Data!$A$33:$CN$78,Data!BU$32,FALSE) = 1,VLOOKUP($F$3,Data!$A$33:$CN$78,Data!CG$32,FALSE),VLOOKUP($F$3,Data!$A$33:$CN$78,Data!CL$32,FALSE)),IF(VLOOKUP($F$3,Data!$A$33:$CN$78,Data!BU$32,FALSE) = 1,VLOOKUP($F$3,Data!$A$33:$CN$78,Data!$M$32,FALSE),VLOOKUP($F$3,Data!$A$33:$CN$78,Data!$P$32,FALSE)))</f>
        <v>0.1106</v>
      </c>
      <c r="L104" s="263"/>
      <c r="M104" s="266"/>
      <c r="N104" s="266"/>
      <c r="O104" s="6"/>
      <c r="P104" s="6"/>
      <c r="Q104" s="56" t="str">
        <f>IF($W96="Subscription","Subscription Rate ($/kW)","Demand Rate ($/kW)")</f>
        <v>Demand Rate ($/kW)</v>
      </c>
      <c r="R104" s="56"/>
      <c r="S104" s="56"/>
      <c r="T104" s="263" t="str">
        <f>IF(ISNUMBER(FIND("SDG&amp;E AL-TOU2",$F$3)),19.7,"")</f>
        <v/>
      </c>
      <c r="U104" s="263"/>
      <c r="V104" s="263">
        <f>IF(VLOOKUP($F$3,Data!$A$33:$CN$78,Data!BU$32,FALSE) = 1,VLOOKUP($F$3,Data!$A$33:$CN$78,Data!$C$32,FALSE),VLOOKUP($F$3,Data!$A$33:$CN$78,Data!$G$32,FALSE))</f>
        <v>3.8</v>
      </c>
      <c r="W104" s="263"/>
      <c r="X104" s="263">
        <f>IF(VLOOKUP($F$3,Data!$A$33:$CN$78,Data!BU$32,FALSE) = 1,VLOOKUP($F$3,Data!$A$33:$CN$78,Data!$D$32,FALSE),VLOOKUP($F$3,Data!$A$33:$CN$78,Data!$H$32,FALSE))</f>
        <v>7.65</v>
      </c>
      <c r="Y104" s="263"/>
      <c r="Z104" s="263">
        <f>IF(VLOOKUP($F$3,Data!$A$33:$CN$78,Data!BU$32,FALSE) = 1,VLOOKUP($F$3,Data!$A$33:$CN$78,Data!$E$32,FALSE),VLOOKUP($F$3,Data!$A$33:$CN$78,Data!$I$32,FALSE))</f>
        <v>0</v>
      </c>
      <c r="AA104" s="263"/>
      <c r="AB104" s="263">
        <f>IF(VLOOKUP($F$3,Data!$A$33:$CN$78,Data!BU$32,FALSE) = 1,VLOOKUP($F$3,Data!$A$33:$CN$78,Data!$F$32,FALSE),VLOOKUP($F$3,Data!$A$33:$CN$78,Data!$J$32,FALSE))</f>
        <v>0</v>
      </c>
      <c r="AC104" s="263"/>
      <c r="AD104" s="56"/>
      <c r="AE104" s="56"/>
      <c r="AF104" s="189"/>
    </row>
    <row r="105" spans="2:39" ht="15.75" hidden="1" outlineLevel="1" x14ac:dyDescent="0.25">
      <c r="B105" s="187"/>
      <c r="C105" s="92" t="s">
        <v>102</v>
      </c>
      <c r="D105" s="76"/>
      <c r="E105" s="76"/>
      <c r="F105" s="76"/>
      <c r="G105" s="270">
        <f>+G103*G104</f>
        <v>0</v>
      </c>
      <c r="H105" s="270"/>
      <c r="I105" s="269">
        <f>+I103*I104</f>
        <v>0</v>
      </c>
      <c r="J105" s="269"/>
      <c r="K105" s="270">
        <f>+K103*K104</f>
        <v>6095.2888888888892</v>
      </c>
      <c r="L105" s="270"/>
      <c r="M105" s="270">
        <f>SUM(G105:L105)</f>
        <v>6095.2888888888892</v>
      </c>
      <c r="N105" s="270"/>
      <c r="O105" s="6"/>
      <c r="P105" s="6"/>
      <c r="Q105" s="6" t="str">
        <f>IF($W96="Subscription","Subscription Fee","Demand Charge")</f>
        <v>Demand Charge</v>
      </c>
      <c r="R105" s="72"/>
      <c r="S105" s="72"/>
      <c r="T105" s="287" t="str">
        <f>IF(ISNUMBER(FIND("SDG&amp;E AL-TOU2",$F$3)),$T103*$T104,"")</f>
        <v/>
      </c>
      <c r="U105" s="287"/>
      <c r="V105" s="293">
        <f>+V103*V104</f>
        <v>1010.8</v>
      </c>
      <c r="W105" s="293"/>
      <c r="X105" s="293">
        <f>+X103*X104</f>
        <v>0</v>
      </c>
      <c r="Y105" s="293"/>
      <c r="Z105" s="293">
        <f>+Z103*Z104</f>
        <v>0</v>
      </c>
      <c r="AA105" s="293"/>
      <c r="AB105" s="293">
        <f>+AB103*AB104</f>
        <v>0</v>
      </c>
      <c r="AC105" s="293"/>
      <c r="AD105" s="293">
        <f>SUM(T105:AC105)</f>
        <v>1010.8</v>
      </c>
      <c r="AE105" s="293"/>
      <c r="AF105" s="189"/>
    </row>
    <row r="106" spans="2:39" ht="15.75" hidden="1" outlineLevel="1" x14ac:dyDescent="0.25">
      <c r="B106" s="190"/>
      <c r="C106" s="174"/>
      <c r="D106" s="175"/>
      <c r="E106" s="175"/>
      <c r="F106" s="175"/>
      <c r="G106" s="176"/>
      <c r="H106" s="176"/>
      <c r="I106" s="176"/>
      <c r="J106" s="176"/>
      <c r="K106" s="176"/>
      <c r="L106" s="176"/>
      <c r="M106" s="176"/>
      <c r="N106" s="176"/>
      <c r="O106" s="177"/>
      <c r="P106" s="177"/>
      <c r="Q106" s="177"/>
      <c r="R106" s="177"/>
      <c r="S106" s="177"/>
      <c r="T106" s="177"/>
      <c r="U106" s="177"/>
      <c r="V106" s="178"/>
      <c r="W106" s="178"/>
      <c r="X106" s="178"/>
      <c r="Y106" s="178"/>
      <c r="Z106" s="178"/>
      <c r="AA106" s="178"/>
      <c r="AB106" s="178"/>
      <c r="AC106" s="178"/>
      <c r="AD106" s="178"/>
      <c r="AE106" s="178"/>
      <c r="AF106" s="191"/>
    </row>
    <row r="107" spans="2:39" ht="15.75" collapsed="1" x14ac:dyDescent="0.25">
      <c r="B107" s="192" t="s">
        <v>193</v>
      </c>
      <c r="C107" s="6"/>
      <c r="D107" s="6"/>
      <c r="E107" s="165" t="s">
        <v>172</v>
      </c>
      <c r="F107" s="167">
        <v>90</v>
      </c>
      <c r="G107" s="169" t="s">
        <v>173</v>
      </c>
      <c r="H107" s="6"/>
      <c r="I107" s="165" t="s">
        <v>222</v>
      </c>
      <c r="J107" s="294" t="s">
        <v>367</v>
      </c>
      <c r="K107" s="294"/>
      <c r="L107" s="294"/>
      <c r="M107" s="6"/>
      <c r="N107" s="165" t="s">
        <v>205</v>
      </c>
      <c r="O107" s="170">
        <v>1</v>
      </c>
      <c r="P107" s="168" t="s">
        <v>206</v>
      </c>
      <c r="Q107" s="6"/>
      <c r="R107" s="76"/>
      <c r="S107" s="72"/>
      <c r="T107" s="72"/>
      <c r="U107" s="72"/>
      <c r="V107" s="171" t="str">
        <f>+"September Monthly Bill (with taxes/fees) = "</f>
        <v xml:space="preserve">September Monthly Bill (with taxes/fees) = </v>
      </c>
      <c r="W107" s="172">
        <f>(AD117+M117+VLOOKUP($F$3,Data!$A$33:$CA$78,2))*(1+$F$8)</f>
        <v>8061.7584999999999</v>
      </c>
      <c r="X107" s="72"/>
      <c r="Y107" s="68"/>
      <c r="Z107" s="223"/>
      <c r="AA107" s="239"/>
      <c r="AB107" s="239" t="str">
        <f>"Cost = $"&amp;FIXED(W107/M115,2) &amp; "/kWh"</f>
        <v>Cost = $0.13/kWh</v>
      </c>
      <c r="AC107" s="222" t="s">
        <v>344</v>
      </c>
      <c r="AD107" s="173" t="str">
        <f>"$"&amp; FIXED(W107*O107/M115,2)&amp;"/mi."</f>
        <v>$0.13/mi.</v>
      </c>
      <c r="AE107" s="72"/>
      <c r="AF107" s="189"/>
      <c r="AH107" s="88"/>
      <c r="AI107" s="23"/>
      <c r="AK107" s="102"/>
      <c r="AL107" s="23"/>
    </row>
    <row r="108" spans="2:39" s="138" customFormat="1" hidden="1" outlineLevel="1" x14ac:dyDescent="0.2">
      <c r="B108" s="186" t="s">
        <v>122</v>
      </c>
      <c r="C108" s="240">
        <f>ROUND(2*$E108/$G108,1)/2</f>
        <v>0.65</v>
      </c>
      <c r="D108" s="156" t="s">
        <v>120</v>
      </c>
      <c r="E108" s="245">
        <f>+$O107*$F107*$M108/($F$7*$Q108)</f>
        <v>5.2631578947368416</v>
      </c>
      <c r="F108" s="156" t="s">
        <v>119</v>
      </c>
      <c r="G108" s="246">
        <f>+VLOOKUP($J107,Data!$Q$9:$BQ$17,Data!$BP$8,FALSE)</f>
        <v>8</v>
      </c>
      <c r="H108" s="143" t="s">
        <v>116</v>
      </c>
      <c r="I108" s="155">
        <f>IF(VLOOKUP($F$4,Data!$G$9:$L$16,Data!$L$8,FALSE)&lt;1,VLOOKUP($F$4,Data!$G$9:$L$16,Data!$L$8,FALSE),1)</f>
        <v>1</v>
      </c>
      <c r="J108" s="143" t="s">
        <v>117</v>
      </c>
      <c r="K108" s="240">
        <f>IF(VLOOKUP($F$4,Data!$G$9:$L$16,Data!$L$8,FALSE)="software",IF($C108&gt;0.75,1,$C108+0.1),1)</f>
        <v>0.75</v>
      </c>
      <c r="L108" s="143" t="s">
        <v>109</v>
      </c>
      <c r="M108" s="246">
        <f>+VLOOKUP($F$4,Data!$G$9:$L$16,Data!$I$8)</f>
        <v>1</v>
      </c>
      <c r="N108" s="143" t="s">
        <v>108</v>
      </c>
      <c r="O108" s="247">
        <f>INT($F$6/$M108)+IF(($F$6/$M108-INT($F$6/$M108))&gt;0,1,0)</f>
        <v>20</v>
      </c>
      <c r="P108" s="143" t="s">
        <v>121</v>
      </c>
      <c r="Q108" s="143">
        <f>VLOOKUP($F$5,Data!$A$9:$C$19,Data!$B$8,FALSE)</f>
        <v>19</v>
      </c>
      <c r="R108" s="144" t="s">
        <v>25</v>
      </c>
      <c r="S108" s="247">
        <f>VLOOKUP($F$3,Data!$A$33:$CN$78,Data!$CB$32,FALSE)</f>
        <v>300</v>
      </c>
      <c r="T108" s="144" t="s">
        <v>26</v>
      </c>
      <c r="U108" s="247">
        <f>IF(VLOOKUP($F$3,Data!$A$33:$CN$78,Data!$CC$32)="N/A",10000000,VLOOKUP($F$3,Data!$A$33:$CN$78,Data!$CC$32,FALSE))</f>
        <v>500</v>
      </c>
      <c r="V108" s="144" t="s">
        <v>40</v>
      </c>
      <c r="W108" s="158" t="str">
        <f>VLOOKUP($F$3,Data!$A$33:$CN$78,Data!CD$32,FALSE)</f>
        <v>TOU</v>
      </c>
      <c r="X108" s="157" t="s">
        <v>144</v>
      </c>
      <c r="Y108" s="248">
        <f>VLOOKUP($F$3,Data!$A$33:$CN$78,Data!$BZ$32)</f>
        <v>3</v>
      </c>
      <c r="Z108" s="144"/>
      <c r="AA108" s="144"/>
      <c r="AB108" s="144"/>
      <c r="AC108" s="144"/>
      <c r="AD108" s="144"/>
      <c r="AE108" s="144"/>
      <c r="AF108" s="255"/>
      <c r="AG108" s="140"/>
      <c r="AH108" s="140"/>
      <c r="AI108" s="137"/>
      <c r="AK108" s="139"/>
      <c r="AL108" s="141"/>
      <c r="AM108" s="141"/>
    </row>
    <row r="109" spans="2:39" ht="15.75" hidden="1" outlineLevel="1" x14ac:dyDescent="0.25">
      <c r="B109" s="187"/>
      <c r="C109" s="130" t="s">
        <v>222</v>
      </c>
      <c r="D109" s="65"/>
      <c r="E109" s="65"/>
      <c r="F109" s="6"/>
      <c r="G109" s="6"/>
      <c r="H109" s="66" t="s">
        <v>74</v>
      </c>
      <c r="I109" s="66" t="s">
        <v>75</v>
      </c>
      <c r="J109" s="66" t="s">
        <v>76</v>
      </c>
      <c r="K109" s="66" t="s">
        <v>77</v>
      </c>
      <c r="L109" s="66" t="s">
        <v>78</v>
      </c>
      <c r="M109" s="66" t="s">
        <v>79</v>
      </c>
      <c r="N109" s="66" t="s">
        <v>80</v>
      </c>
      <c r="O109" s="66" t="s">
        <v>81</v>
      </c>
      <c r="P109" s="66" t="s">
        <v>82</v>
      </c>
      <c r="Q109" s="66" t="s">
        <v>83</v>
      </c>
      <c r="R109" s="66" t="s">
        <v>84</v>
      </c>
      <c r="S109" s="66" t="s">
        <v>85</v>
      </c>
      <c r="T109" s="66" t="s">
        <v>86</v>
      </c>
      <c r="U109" s="66" t="s">
        <v>87</v>
      </c>
      <c r="V109" s="66" t="s">
        <v>88</v>
      </c>
      <c r="W109" s="66" t="s">
        <v>89</v>
      </c>
      <c r="X109" s="66" t="s">
        <v>90</v>
      </c>
      <c r="Y109" s="66" t="s">
        <v>91</v>
      </c>
      <c r="Z109" s="66" t="s">
        <v>92</v>
      </c>
      <c r="AA109" s="66" t="s">
        <v>93</v>
      </c>
      <c r="AB109" s="66" t="s">
        <v>94</v>
      </c>
      <c r="AC109" s="66" t="s">
        <v>95</v>
      </c>
      <c r="AD109" s="66" t="s">
        <v>96</v>
      </c>
      <c r="AE109" s="66" t="s">
        <v>97</v>
      </c>
      <c r="AF109" s="188"/>
      <c r="AI109" s="23"/>
      <c r="AJ109" s="23"/>
      <c r="AK109" s="102"/>
    </row>
    <row r="110" spans="2:39" ht="15.75" hidden="1" outlineLevel="1" x14ac:dyDescent="0.25">
      <c r="B110" s="187"/>
      <c r="C110" s="295" t="str">
        <f>J107</f>
        <v>Late Evening (10p-6a)</v>
      </c>
      <c r="D110" s="296"/>
      <c r="E110" s="296"/>
      <c r="F110" s="296"/>
      <c r="G110" s="297"/>
      <c r="H110" s="151">
        <f>$I108*$K108*VLOOKUP($C110,Data!$Q$9:$BO$17,Data!T$8,FALSE)</f>
        <v>0</v>
      </c>
      <c r="I110" s="151">
        <f>$I108*$K108*VLOOKUP($C110,Data!$Q$9:$BO$17,Data!U$8,FALSE)</f>
        <v>0</v>
      </c>
      <c r="J110" s="151">
        <f>$I108*$K108*VLOOKUP($C110,Data!$Q$9:$BO$17,Data!V$8,FALSE)</f>
        <v>0</v>
      </c>
      <c r="K110" s="151">
        <f>$I108*$K108*VLOOKUP($C110,Data!$Q$9:$BO$17,Data!W$8,FALSE)</f>
        <v>0</v>
      </c>
      <c r="L110" s="151">
        <f>$I108*$K108*VLOOKUP($C110,Data!$Q$9:$BO$17,Data!X$8,FALSE)</f>
        <v>0</v>
      </c>
      <c r="M110" s="151">
        <f>$I108*$K108*VLOOKUP($C110,Data!$Q$9:$BO$17,Data!Y$8,FALSE)</f>
        <v>0</v>
      </c>
      <c r="N110" s="151">
        <f>$I108*$K108*VLOOKUP($C110,Data!$Q$9:$BO$17,Data!Z$8,FALSE)</f>
        <v>0</v>
      </c>
      <c r="O110" s="151">
        <f>$I108*$K108*VLOOKUP($C110,Data!$Q$9:$BO$17,Data!AA$8,FALSE)</f>
        <v>0</v>
      </c>
      <c r="P110" s="151">
        <f>$I108*$K108*VLOOKUP($C110,Data!$Q$9:$BO$17,Data!AB$8,FALSE)</f>
        <v>0</v>
      </c>
      <c r="Q110" s="151">
        <f>$I108*$K108*VLOOKUP($C110,Data!$Q$9:$BO$17,Data!AC$8,FALSE)</f>
        <v>0</v>
      </c>
      <c r="R110" s="151">
        <f>$I108*$K108*VLOOKUP($C110,Data!$Q$9:$BO$17,Data!AD$8,FALSE)</f>
        <v>0.75</v>
      </c>
      <c r="S110" s="151">
        <f>$I108*$K108*VLOOKUP($C110,Data!$Q$9:$BO$17,Data!AE$8,FALSE)</f>
        <v>0.75</v>
      </c>
      <c r="T110" s="151">
        <f>$I108*$K108*VLOOKUP($C110,Data!$Q$9:$BO$17,Data!AF$8,FALSE)</f>
        <v>0.75</v>
      </c>
      <c r="U110" s="151">
        <f>$I108*$K108*VLOOKUP($C110,Data!$Q$9:$BO$17,Data!AG$8,FALSE)</f>
        <v>0.75</v>
      </c>
      <c r="V110" s="151">
        <f>$I108*$K108*VLOOKUP($C110,Data!$Q$9:$BO$17,Data!AH$8,FALSE)</f>
        <v>0.75</v>
      </c>
      <c r="W110" s="151">
        <f>$I108*$K108*VLOOKUP($C110,Data!$Q$9:$BO$17,Data!AI$8,FALSE)</f>
        <v>0.75</v>
      </c>
      <c r="X110" s="151">
        <f>$I108*$K108*VLOOKUP($C110,Data!$Q$9:$BO$17,Data!AJ$8,FALSE)</f>
        <v>0.75</v>
      </c>
      <c r="Y110" s="151">
        <f>$I108*$K108*VLOOKUP($C110,Data!$Q$9:$BO$17,Data!AK$8,FALSE)</f>
        <v>0.75</v>
      </c>
      <c r="Z110" s="151">
        <f>$I108*$K108*VLOOKUP($C110,Data!$Q$9:$BO$17,Data!AL$8,FALSE)</f>
        <v>0</v>
      </c>
      <c r="AA110" s="151">
        <f>$I108*$K108*VLOOKUP($C110,Data!$Q$9:$BO$17,Data!AM$8,FALSE)</f>
        <v>0</v>
      </c>
      <c r="AB110" s="151">
        <f>$I108*$K108*VLOOKUP($C110,Data!$Q$9:$BO$17,Data!AN$8,FALSE)</f>
        <v>0</v>
      </c>
      <c r="AC110" s="151">
        <f>$I108*$K108*VLOOKUP($C110,Data!$Q$9:$BO$17,Data!AO$8,FALSE)</f>
        <v>0</v>
      </c>
      <c r="AD110" s="151">
        <f>$I108*$K108*VLOOKUP($C110,Data!$Q$9:$BO$17,Data!AP$8,FALSE)</f>
        <v>0</v>
      </c>
      <c r="AE110" s="151">
        <f>$I108*$K108*VLOOKUP($C110,Data!$Q$9:$BO$17,Data!AQ$8,FALSE)</f>
        <v>0</v>
      </c>
      <c r="AF110" s="189"/>
      <c r="AI110" s="68"/>
    </row>
    <row r="111" spans="2:39" ht="15.75" hidden="1" outlineLevel="1" x14ac:dyDescent="0.25">
      <c r="B111" s="187"/>
      <c r="C111" s="126" t="s">
        <v>194</v>
      </c>
      <c r="D111" s="6"/>
      <c r="E111" s="6"/>
      <c r="F111" s="6"/>
      <c r="G111" s="6"/>
      <c r="H111" s="133" t="str">
        <f>IF(VLOOKUP($F$3,Data!$A$33:$BY$78,Data!$BV$32,FALSE)=1,VLOOKUP($F$3,Data!$A$33:$BM$78,Data!R$32,FALSE),VLOOKUP($F$3,Data!$A$33:$BM$78,Data!AP$32,FALSE))</f>
        <v>m</v>
      </c>
      <c r="I111" s="133" t="str">
        <f>IF(VLOOKUP($F$3,Data!$A$33:$BY$78,Data!$BV$32,FALSE)=1,VLOOKUP($F$3,Data!$A$33:$BM$78,Data!S$32,FALSE),VLOOKUP($F$3,Data!$A$33:$BM$78,Data!AQ$32,FALSE))</f>
        <v>m</v>
      </c>
      <c r="J111" s="133" t="str">
        <f>IF(VLOOKUP($F$3,Data!$A$33:$BY$78,Data!$BV$32,FALSE)=1,VLOOKUP($F$3,Data!$A$33:$BM$78,Data!T$32,FALSE),VLOOKUP($F$3,Data!$A$33:$BM$78,Data!AR$32,FALSE))</f>
        <v>p</v>
      </c>
      <c r="K111" s="133" t="str">
        <f>IF(VLOOKUP($F$3,Data!$A$33:$BY$78,Data!$BV$32,FALSE)=1,VLOOKUP($F$3,Data!$A$33:$BM$78,Data!U$32,FALSE),VLOOKUP($F$3,Data!$A$33:$BM$78,Data!AS$32,FALSE))</f>
        <v>p</v>
      </c>
      <c r="L111" s="133" t="str">
        <f>IF(VLOOKUP($F$3,Data!$A$33:$BY$78,Data!$BV$32,FALSE)=1,VLOOKUP($F$3,Data!$A$33:$BM$78,Data!V$32,FALSE),VLOOKUP($F$3,Data!$A$33:$BM$78,Data!AT$32,FALSE))</f>
        <v>p</v>
      </c>
      <c r="M111" s="133" t="str">
        <f>IF(VLOOKUP($F$3,Data!$A$33:$BY$78,Data!$BV$32,FALSE)=1,VLOOKUP($F$3,Data!$A$33:$BM$78,Data!W$32,FALSE),VLOOKUP($F$3,Data!$A$33:$BM$78,Data!AU$32,FALSE))</f>
        <v>p</v>
      </c>
      <c r="N111" s="133" t="str">
        <f>IF(VLOOKUP($F$3,Data!$A$33:$BY$78,Data!$BV$32,FALSE)=1,VLOOKUP($F$3,Data!$A$33:$BM$78,Data!X$32,FALSE),VLOOKUP($F$3,Data!$A$33:$BM$78,Data!AV$32,FALSE))</f>
        <v>p</v>
      </c>
      <c r="O111" s="133" t="str">
        <f>IF(VLOOKUP($F$3,Data!$A$33:$BY$78,Data!$BV$32,FALSE)=1,VLOOKUP($F$3,Data!$A$33:$BM$78,Data!Y$32,FALSE),VLOOKUP($F$3,Data!$A$33:$BM$78,Data!AW$32,FALSE))</f>
        <v>p</v>
      </c>
      <c r="P111" s="133" t="str">
        <f>IF(VLOOKUP($F$3,Data!$A$33:$BY$78,Data!$BV$32,FALSE)=1,VLOOKUP($F$3,Data!$A$33:$BM$78,Data!Z$32,FALSE),VLOOKUP($F$3,Data!$A$33:$BM$78,Data!AX$32,FALSE))</f>
        <v>m</v>
      </c>
      <c r="Q111" s="133" t="str">
        <f>IF(VLOOKUP($F$3,Data!$A$33:$BY$78,Data!$BV$32,FALSE)=1,VLOOKUP($F$3,Data!$A$33:$BM$78,Data!AA$32,FALSE),VLOOKUP($F$3,Data!$A$33:$BM$78,Data!AY$32,FALSE))</f>
        <v>m</v>
      </c>
      <c r="R111" s="133" t="str">
        <f>IF(VLOOKUP($F$3,Data!$A$33:$BY$78,Data!$BV$32,FALSE)=1,VLOOKUP($F$3,Data!$A$33:$BM$78,Data!AB$32,FALSE),VLOOKUP($F$3,Data!$A$33:$BM$78,Data!AZ$32,FALSE))</f>
        <v>o</v>
      </c>
      <c r="S111" s="133" t="str">
        <f>IF(VLOOKUP($F$3,Data!$A$33:$BY$78,Data!$BV$32,FALSE)=1,VLOOKUP($F$3,Data!$A$33:$BM$78,Data!AC$32,FALSE),VLOOKUP($F$3,Data!$A$33:$BM$78,Data!BA$32,FALSE))</f>
        <v>o</v>
      </c>
      <c r="T111" s="133" t="str">
        <f>IF(VLOOKUP($F$3,Data!$A$33:$BY$78,Data!$BV$32,FALSE)=1,VLOOKUP($F$3,Data!$A$33:$BM$78,Data!AD$32,FALSE),VLOOKUP($F$3,Data!$A$33:$BM$78,Data!BB$32,FALSE))</f>
        <v>o</v>
      </c>
      <c r="U111" s="133" t="str">
        <f>IF(VLOOKUP($F$3,Data!$A$33:$BY$78,Data!$BV$32,FALSE)=1,VLOOKUP($F$3,Data!$A$33:$BM$78,Data!AE$32,FALSE),VLOOKUP($F$3,Data!$A$33:$BM$78,Data!BC$32,FALSE))</f>
        <v>o</v>
      </c>
      <c r="V111" s="133" t="str">
        <f>IF(VLOOKUP($F$3,Data!$A$33:$BY$78,Data!$BV$32,FALSE)=1,VLOOKUP($F$3,Data!$A$33:$BM$78,Data!AF$32,FALSE),VLOOKUP($F$3,Data!$A$33:$BM$78,Data!BD$32,FALSE))</f>
        <v>o</v>
      </c>
      <c r="W111" s="133" t="str">
        <f>IF(VLOOKUP($F$3,Data!$A$33:$BY$78,Data!$BV$32,FALSE)=1,VLOOKUP($F$3,Data!$A$33:$BM$78,Data!AG$32,FALSE),VLOOKUP($F$3,Data!$A$33:$BM$78,Data!BE$32,FALSE))</f>
        <v>o</v>
      </c>
      <c r="X111" s="133" t="str">
        <f>IF(VLOOKUP($F$3,Data!$A$33:$BY$78,Data!$BV$32,FALSE)=1,VLOOKUP($F$3,Data!$A$33:$BM$78,Data!AH$32,FALSE),VLOOKUP($F$3,Data!$A$33:$BM$78,Data!BF$32,FALSE))</f>
        <v>o</v>
      </c>
      <c r="Y111" s="133" t="str">
        <f>IF(VLOOKUP($F$3,Data!$A$33:$BY$78,Data!$BV$32,FALSE)=1,VLOOKUP($F$3,Data!$A$33:$BM$78,Data!AI$32,FALSE),VLOOKUP($F$3,Data!$A$33:$BM$78,Data!BG$32,FALSE))</f>
        <v>o</v>
      </c>
      <c r="Z111" s="133" t="str">
        <f>IF(VLOOKUP($F$3,Data!$A$33:$BY$78,Data!$BV$32,FALSE)=1,VLOOKUP($F$3,Data!$A$33:$BM$78,Data!AJ$32,FALSE),VLOOKUP($F$3,Data!$A$33:$BM$78,Data!BH$32,FALSE))</f>
        <v>o</v>
      </c>
      <c r="AA111" s="133" t="str">
        <f>IF(VLOOKUP($F$3,Data!$A$33:$BY$78,Data!$BV$32,FALSE)=1,VLOOKUP($F$3,Data!$A$33:$BM$78,Data!AK$32,FALSE),VLOOKUP($F$3,Data!$A$33:$BM$78,Data!BI$32,FALSE))</f>
        <v>o</v>
      </c>
      <c r="AB111" s="133" t="str">
        <f>IF(VLOOKUP($F$3,Data!$A$33:$BY$78,Data!$BV$32,FALSE)=1,VLOOKUP($F$3,Data!$A$33:$BM$78,Data!AL$32,FALSE),VLOOKUP($F$3,Data!$A$33:$BM$78,Data!BJ$32,FALSE))</f>
        <v>o</v>
      </c>
      <c r="AC111" s="133" t="str">
        <f>IF(VLOOKUP($F$3,Data!$A$33:$BY$78,Data!$BV$32,FALSE)=1,VLOOKUP($F$3,Data!$A$33:$BM$78,Data!AM$32,FALSE),VLOOKUP($F$3,Data!$A$33:$BM$78,Data!BK$32,FALSE))</f>
        <v>o</v>
      </c>
      <c r="AD111" s="133" t="str">
        <f>IF(VLOOKUP($F$3,Data!$A$33:$BY$78,Data!$BV$32,FALSE)=1,VLOOKUP($F$3,Data!$A$33:$BM$78,Data!AN$32,FALSE),VLOOKUP($F$3,Data!$A$33:$BM$78,Data!BL$32,FALSE))</f>
        <v>o</v>
      </c>
      <c r="AE111" s="133" t="str">
        <f>IF(VLOOKUP($F$3,Data!$A$33:$BY$78,Data!$BV$32,FALSE)=1,VLOOKUP($F$3,Data!$A$33:$BM$78,Data!AO$32,FALSE),VLOOKUP($F$3,Data!$A$33:$BM$78,Data!BM$32,FALSE))</f>
        <v>o</v>
      </c>
      <c r="AF111" s="189"/>
      <c r="AI111" s="23"/>
      <c r="AJ111" s="23"/>
      <c r="AK111" s="102"/>
    </row>
    <row r="112" spans="2:39" ht="15.75" hidden="1" outlineLevel="1" x14ac:dyDescent="0.25">
      <c r="B112" s="187"/>
      <c r="C112" s="126"/>
      <c r="D112" s="6"/>
      <c r="E112" s="6"/>
      <c r="F112" s="6"/>
      <c r="G112" s="6"/>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89"/>
      <c r="AI112" s="23"/>
      <c r="AJ112" s="23"/>
      <c r="AK112" s="102"/>
    </row>
    <row r="113" spans="2:39" ht="16.5" hidden="1" outlineLevel="1" thickBot="1" x14ac:dyDescent="0.3">
      <c r="B113" s="187"/>
      <c r="C113" s="73" t="s">
        <v>195</v>
      </c>
      <c r="D113" s="73"/>
      <c r="E113" s="73"/>
      <c r="F113" s="73"/>
      <c r="G113" s="259" t="str">
        <f>IF($W$12="Tier","Tier 1","On-Peak")</f>
        <v>On-Peak</v>
      </c>
      <c r="H113" s="259"/>
      <c r="I113" s="259" t="str">
        <f>IF($W$12="Tier","Tier 2","Mid-Peak")</f>
        <v>Mid-Peak</v>
      </c>
      <c r="J113" s="259"/>
      <c r="K113" s="259" t="str">
        <f>IF($W$12="Tier","Tier 3","Off-Peak")</f>
        <v>Off-Peak</v>
      </c>
      <c r="L113" s="259"/>
      <c r="M113" s="259" t="s">
        <v>12</v>
      </c>
      <c r="N113" s="259"/>
      <c r="O113" s="6"/>
      <c r="P113" s="6"/>
      <c r="Q113" s="243" t="str">
        <f>IF($W12="Subscription","September Subscription","September Demand")</f>
        <v>September Demand</v>
      </c>
      <c r="R113" s="243"/>
      <c r="S113" s="236"/>
      <c r="T113" s="259" t="str">
        <f>IF(ISNUMBER(FIND("SDG&amp;E AL-TOU2",$F$3)),"TOU Demand","")</f>
        <v/>
      </c>
      <c r="U113" s="259"/>
      <c r="V113" s="259" t="str">
        <f>IF($W108="Subscription","Subscription","Maximum")</f>
        <v>Maximum</v>
      </c>
      <c r="W113" s="259"/>
      <c r="X113" s="259" t="s">
        <v>60</v>
      </c>
      <c r="Y113" s="259"/>
      <c r="Z113" s="259" t="s">
        <v>61</v>
      </c>
      <c r="AA113" s="259"/>
      <c r="AB113" s="259" t="s">
        <v>55</v>
      </c>
      <c r="AC113" s="259"/>
      <c r="AD113" s="259" t="s">
        <v>12</v>
      </c>
      <c r="AE113" s="259"/>
      <c r="AF113" s="189"/>
    </row>
    <row r="114" spans="2:39" ht="15" hidden="1" customHeight="1" outlineLevel="1" x14ac:dyDescent="0.25">
      <c r="B114" s="187"/>
      <c r="C114" s="6" t="s">
        <v>103</v>
      </c>
      <c r="D114" s="6"/>
      <c r="E114" s="6"/>
      <c r="F114" s="6"/>
      <c r="G114" s="260">
        <f>SUMIF($H111:$AE111,"p",$H110:$AE110)/SUM($H110:$AE110)</f>
        <v>0</v>
      </c>
      <c r="H114" s="260"/>
      <c r="I114" s="260">
        <f>SUMIF($H111:$AE111,"m",$H110:$AE110)/SUM($H110:$AE110)</f>
        <v>0</v>
      </c>
      <c r="J114" s="260"/>
      <c r="K114" s="284">
        <f>SUMIF($H111:$AE111,"o",$H110:$AE110)/SUM($H110:$AE110)</f>
        <v>1</v>
      </c>
      <c r="L114" s="284"/>
      <c r="M114" s="6"/>
      <c r="N114" s="6"/>
      <c r="O114" s="6"/>
      <c r="P114" s="6"/>
      <c r="Q114" s="6" t="s">
        <v>104</v>
      </c>
      <c r="R114" s="6"/>
      <c r="S114" s="6"/>
      <c r="T114" s="291" t="str">
        <f>IF(ISNUMBER(FIND("SDG&amp;E AL-TOU2",$F$3)),MAX($X114:$AA114),"")</f>
        <v/>
      </c>
      <c r="U114" s="291"/>
      <c r="V114" s="260">
        <f>IF($W108="Subscription","",MAX($X114:$AC114))</f>
        <v>0.75</v>
      </c>
      <c r="W114" s="260"/>
      <c r="X114" s="284">
        <f t="array" ref="X114">MAX(IF($H111:$AE111="p",$H110:$AE110))</f>
        <v>0</v>
      </c>
      <c r="Y114" s="284"/>
      <c r="Z114" s="284">
        <f t="array" ref="Z114">MAX(IF($H111:$AE111="m",$H110:$AE110))</f>
        <v>0</v>
      </c>
      <c r="AA114" s="284"/>
      <c r="AB114" s="284">
        <f t="array" ref="AB114">MAX(IF($H111:$AE111="o",$H110:$AE110))</f>
        <v>0.75</v>
      </c>
      <c r="AC114" s="284"/>
      <c r="AD114" s="6"/>
      <c r="AE114" s="6"/>
      <c r="AF114" s="189"/>
    </row>
    <row r="115" spans="2:39" ht="15.75" hidden="1" outlineLevel="1" x14ac:dyDescent="0.25">
      <c r="B115" s="187"/>
      <c r="C115" s="6" t="s">
        <v>101</v>
      </c>
      <c r="D115" s="6"/>
      <c r="E115" s="6"/>
      <c r="F115" s="6"/>
      <c r="G115" s="265">
        <f>IF( $W$12="Tier",IF(OR(VLOOKUP($F$3,Data!$A$33:$CN$78,Data!CM$32,FALSE)&gt;$M115,VLOOKUP($F$3,Data!$A$33:$CN$78,Data!CM$32,FALSE)=0),$M115,VLOOKUP($F$3,Data!$A$33:$CN$78,Data!CM$32,FALSE)),$M115*$G114)</f>
        <v>0</v>
      </c>
      <c r="H115" s="265"/>
      <c r="I115" s="265">
        <f>IF(
 $W$12="Tier",
 IF(
  OR($M115&lt;VLOOKUP($F$3,Data!$A$33:$CN$78,Data!CM$32,FALSE),VLOOKUP($F$3,Data!$A$33:$CN$78,Data!CM$32,FALSE)=0),
  0,
   IF(
    OR($M115&gt;VLOOKUP($F$3,Data!$A$33:$CN$78,Data!CM$32,FALSE),VLOOKUP($F$3,Data!$A$33:$CN$78,Data!CN$32,FALSE)=0),
    $M115-VLOOKUP($F$3,Data!$A$33:$CN$78,Data!CM$32,FALSE),
    VLOOKUP($F$3,Data!$A$33:$CN$78,Data!CN$32,FALSE)-VLOOKUP($F$3,Data!$A$33:$CN$78,Data!CM$32,FALSE)
   )
 ),
 $M115*$I114)</f>
        <v>0</v>
      </c>
      <c r="J115" s="265"/>
      <c r="K115" s="265">
        <f>IF($W$12="Tier",M115-SUM(G115:J115),$M115*K114)</f>
        <v>60000</v>
      </c>
      <c r="L115" s="265"/>
      <c r="M115" s="261">
        <f>+$O$107*F107*$F$6*30/$F$7</f>
        <v>60000</v>
      </c>
      <c r="N115" s="261"/>
      <c r="O115" s="6"/>
      <c r="P115" s="6"/>
      <c r="Q115" s="6" t="s">
        <v>107</v>
      </c>
      <c r="R115" s="6"/>
      <c r="S115" s="6"/>
      <c r="T115" s="262" t="str">
        <f>IF(ISNUMBER(FIND("SDG&amp;E AL-TOU2",$F$3)),ROUND(MAX($X115:$AA115),0),"")</f>
        <v/>
      </c>
      <c r="U115" s="262"/>
      <c r="V115" s="261">
        <f>IF($W108="Subscription",$F$9,ROUND(MAX($X115:$AC115),0))</f>
        <v>285</v>
      </c>
      <c r="W115" s="262"/>
      <c r="X115" s="265">
        <f>VLOOKUP($F$5,Data!$A$9:$C$21,Data!$B$8,FALSE)*$O108*$X114</f>
        <v>0</v>
      </c>
      <c r="Y115" s="265"/>
      <c r="Z115" s="265">
        <f>VLOOKUP($F$5,Data!$A$9:$C$21,Data!$B$8,FALSE)*$O108*$Z114</f>
        <v>0</v>
      </c>
      <c r="AA115" s="265"/>
      <c r="AB115" s="265">
        <f>VLOOKUP($F$5,Data!$A$9:$C$21,Data!$B$8,FALSE)*$O108*$AB114</f>
        <v>285</v>
      </c>
      <c r="AC115" s="265"/>
      <c r="AD115" s="261"/>
      <c r="AE115" s="261"/>
      <c r="AF115" s="189"/>
    </row>
    <row r="116" spans="2:39" ht="16.5" hidden="1" outlineLevel="1" thickBot="1" x14ac:dyDescent="0.3">
      <c r="B116" s="187"/>
      <c r="C116" s="56" t="s">
        <v>100</v>
      </c>
      <c r="D116" s="56"/>
      <c r="E116" s="56"/>
      <c r="F116" s="56"/>
      <c r="G116" s="263">
        <f>IF($W$12="Tier",IF(VLOOKUP($F$3,Data!$A$33:$CN$78,Data!BV$32,FALSE)=1,VLOOKUP($F$3,Data!$A$33:$CN$78,Data!CE$32,FALSE),VLOOKUP($F$3,Data!$A$33:$CN$78,Data!CJ$32,FALSE)),IF(VLOOKUP($F$3,Data!$A$33:$CN$78,Data!BV$32,FALSE)=1,VLOOKUP($F$3,Data!$A$33:$CN$78,Data!$K$32,FALSE),VLOOKUP($F$3,Data!$A$33:$CN$78,Data!$N$32,FALSE)))</f>
        <v>0.20219999999999999</v>
      </c>
      <c r="H116" s="263"/>
      <c r="I116" s="263">
        <f>IF($W$12="Tier",IF(VLOOKUP($F$3,Data!$A$33:$CN$78,Data!BV$32,FALSE) = 1,VLOOKUP($F$3,Data!$A$33:$CN$78,Data!CF$32,FALSE),VLOOKUP($F$3,Data!$A$33:$CN$78,Data!CK$32,FALSE)),IF(VLOOKUP($F$3,Data!$A$33:$CN$78,Data!BV$32,FALSE) = 1,VLOOKUP($F$3,Data!$A$33:$CN$78,Data!$L$32,FALSE),VLOOKUP($F$3,Data!$A$33:$CN$78,Data!$O$32,FALSE)))</f>
        <v>0.13869999999999999</v>
      </c>
      <c r="J116" s="263"/>
      <c r="K116" s="263">
        <f>IF($W$12="Tier",IF(VLOOKUP($F$3,Data!$A$33:$CN$78,Data!BV$32,FALSE) = 1,VLOOKUP($F$3,Data!$A$33:$CN$78,Data!CG$32,FALSE),VLOOKUP($F$3,Data!$A$33:$CN$78,Data!CL$32,FALSE)),IF(VLOOKUP($F$3,Data!$A$33:$CN$78,Data!BV$32,FALSE) = 1,VLOOKUP($F$3,Data!$A$33:$CN$78,Data!$M$32,FALSE),VLOOKUP($F$3,Data!$A$33:$CN$78,Data!$P$32,FALSE)))</f>
        <v>0.1106</v>
      </c>
      <c r="L116" s="263"/>
      <c r="M116" s="266"/>
      <c r="N116" s="266"/>
      <c r="O116" s="6"/>
      <c r="P116" s="6"/>
      <c r="Q116" s="56" t="str">
        <f>IF($W108="Subscription","Subscription Rate ($/kW)","Demand Rate ($/kW)")</f>
        <v>Demand Rate ($/kW)</v>
      </c>
      <c r="R116" s="56"/>
      <c r="S116" s="56"/>
      <c r="T116" s="263" t="str">
        <f>IF(ISNUMBER(FIND("SDG&amp;E AL-TOU2",$F$3)),19.7,"")</f>
        <v/>
      </c>
      <c r="U116" s="263"/>
      <c r="V116" s="263">
        <f>IF(VLOOKUP($F$3,Data!$A$33:$CN$78,Data!BV$32,FALSE) = 1,VLOOKUP($F$3,Data!$A$33:$CN$78,Data!$C$32,FALSE),VLOOKUP($F$3,Data!$A$33:$CN$78,Data!$G$32,FALSE))</f>
        <v>3.8</v>
      </c>
      <c r="W116" s="263"/>
      <c r="X116" s="263">
        <f>IF(VLOOKUP($F$3,Data!$A$33:$CN$78,Data!BV$32,FALSE) = 1,VLOOKUP($F$3,Data!$A$33:$CN$78,Data!$D$32,FALSE),VLOOKUP($F$3,Data!$A$33:$CN$78,Data!$H$32,FALSE))</f>
        <v>7.65</v>
      </c>
      <c r="Y116" s="263"/>
      <c r="Z116" s="263">
        <f>IF(VLOOKUP($F$3,Data!$A$33:$CN$78,Data!BV$32,FALSE) = 1,VLOOKUP($F$3,Data!$A$33:$CN$78,Data!$E$32,FALSE),VLOOKUP($F$3,Data!$A$33:$CN$78,Data!$I$32,FALSE))</f>
        <v>0</v>
      </c>
      <c r="AA116" s="263"/>
      <c r="AB116" s="263">
        <f>IF(VLOOKUP($F$3,Data!$A$33:$CN$78,Data!BV$32,FALSE) = 1,VLOOKUP($F$3,Data!$A$33:$CN$78,Data!$F$32,FALSE),VLOOKUP($F$3,Data!$A$33:$CN$78,Data!$J$32,FALSE))</f>
        <v>0</v>
      </c>
      <c r="AC116" s="263"/>
      <c r="AD116" s="56"/>
      <c r="AE116" s="56"/>
      <c r="AF116" s="189"/>
    </row>
    <row r="117" spans="2:39" ht="15.75" hidden="1" outlineLevel="1" x14ac:dyDescent="0.25">
      <c r="B117" s="187"/>
      <c r="C117" s="92" t="s">
        <v>102</v>
      </c>
      <c r="D117" s="76"/>
      <c r="E117" s="76"/>
      <c r="F117" s="76"/>
      <c r="G117" s="270">
        <f>+G115*G116</f>
        <v>0</v>
      </c>
      <c r="H117" s="270"/>
      <c r="I117" s="269">
        <f>+I115*I116</f>
        <v>0</v>
      </c>
      <c r="J117" s="269"/>
      <c r="K117" s="270">
        <f>+K115*K116</f>
        <v>6636</v>
      </c>
      <c r="L117" s="270"/>
      <c r="M117" s="269">
        <f>SUM(G117:L117)</f>
        <v>6636</v>
      </c>
      <c r="N117" s="269"/>
      <c r="O117" s="6"/>
      <c r="P117" s="6"/>
      <c r="Q117" s="6" t="str">
        <f>IF($W108="Subscription","Subscription Fee","Demand Charge")</f>
        <v>Demand Charge</v>
      </c>
      <c r="R117" s="72"/>
      <c r="S117" s="72"/>
      <c r="T117" s="287" t="str">
        <f>IF(ISNUMBER(FIND("SDG&amp;E AL-TOU2",$F$3)),$T115*$T116,"")</f>
        <v/>
      </c>
      <c r="U117" s="287"/>
      <c r="V117" s="293">
        <f>+V115*V116</f>
        <v>1083</v>
      </c>
      <c r="W117" s="293"/>
      <c r="X117" s="293">
        <f>+X115*X116</f>
        <v>0</v>
      </c>
      <c r="Y117" s="293"/>
      <c r="Z117" s="293">
        <f>+Z115*Z116</f>
        <v>0</v>
      </c>
      <c r="AA117" s="293"/>
      <c r="AB117" s="293">
        <f>+AB115*AB116</f>
        <v>0</v>
      </c>
      <c r="AC117" s="293"/>
      <c r="AD117" s="293">
        <f>SUM(T117:AC117)</f>
        <v>1083</v>
      </c>
      <c r="AE117" s="293"/>
      <c r="AF117" s="189"/>
    </row>
    <row r="118" spans="2:39" ht="15.75" hidden="1" outlineLevel="1" x14ac:dyDescent="0.25">
      <c r="B118" s="190"/>
      <c r="C118" s="174"/>
      <c r="D118" s="175"/>
      <c r="E118" s="175"/>
      <c r="F118" s="175"/>
      <c r="G118" s="176"/>
      <c r="H118" s="176"/>
      <c r="I118" s="176"/>
      <c r="J118" s="176"/>
      <c r="K118" s="176"/>
      <c r="L118" s="176"/>
      <c r="M118" s="176"/>
      <c r="N118" s="176"/>
      <c r="O118" s="177"/>
      <c r="P118" s="177"/>
      <c r="Q118" s="177"/>
      <c r="R118" s="177"/>
      <c r="S118" s="177"/>
      <c r="T118" s="177"/>
      <c r="U118" s="177"/>
      <c r="V118" s="178"/>
      <c r="W118" s="178"/>
      <c r="X118" s="178"/>
      <c r="Y118" s="178"/>
      <c r="Z118" s="178"/>
      <c r="AA118" s="178"/>
      <c r="AB118" s="178"/>
      <c r="AC118" s="178"/>
      <c r="AD118" s="178"/>
      <c r="AE118" s="178"/>
      <c r="AF118" s="191"/>
    </row>
    <row r="119" spans="2:39" ht="15.75" collapsed="1" x14ac:dyDescent="0.25">
      <c r="B119" s="192" t="s">
        <v>196</v>
      </c>
      <c r="C119" s="6"/>
      <c r="D119" s="6"/>
      <c r="E119" s="165" t="s">
        <v>172</v>
      </c>
      <c r="F119" s="167">
        <v>100</v>
      </c>
      <c r="G119" s="169" t="s">
        <v>173</v>
      </c>
      <c r="H119" s="6"/>
      <c r="I119" s="165" t="s">
        <v>222</v>
      </c>
      <c r="J119" s="294" t="s">
        <v>367</v>
      </c>
      <c r="K119" s="294"/>
      <c r="L119" s="294"/>
      <c r="M119" s="6"/>
      <c r="N119" s="165" t="s">
        <v>205</v>
      </c>
      <c r="O119" s="170">
        <v>0.9</v>
      </c>
      <c r="P119" s="168" t="s">
        <v>206</v>
      </c>
      <c r="Q119" s="6"/>
      <c r="R119" s="76"/>
      <c r="S119" s="72"/>
      <c r="T119" s="72"/>
      <c r="U119" s="72"/>
      <c r="V119" s="171" t="str">
        <f>+"October Monthly Bill (with taxes/fees) = "</f>
        <v xml:space="preserve">October Monthly Bill (with taxes/fees) = </v>
      </c>
      <c r="W119" s="172">
        <f>(AD129+M129+VLOOKUP($F$3,Data!$A$33:$CA$78,2))*(1+$F$8)</f>
        <v>6616.4625000000005</v>
      </c>
      <c r="X119" s="72"/>
      <c r="Y119" s="68"/>
      <c r="Z119" s="223"/>
      <c r="AA119" s="239"/>
      <c r="AB119" s="239" t="str">
        <f>"Cost = $"&amp;FIXED(W119/M127,2) &amp; "/kWh"</f>
        <v>Cost = $0.11/kWh</v>
      </c>
      <c r="AC119" s="222" t="s">
        <v>344</v>
      </c>
      <c r="AD119" s="173" t="str">
        <f>"$"&amp; FIXED(W119*O119/M127,2)&amp;"/mi."</f>
        <v>$0.10/mi.</v>
      </c>
      <c r="AE119" s="72"/>
      <c r="AF119" s="189"/>
      <c r="AH119" s="88"/>
      <c r="AI119" s="23"/>
      <c r="AK119" s="102"/>
      <c r="AL119" s="23"/>
    </row>
    <row r="120" spans="2:39" s="138" customFormat="1" hidden="1" outlineLevel="1" x14ac:dyDescent="0.2">
      <c r="B120" s="186" t="s">
        <v>122</v>
      </c>
      <c r="C120" s="240">
        <f>ROUND(2*$E120/$G120,1)/2</f>
        <v>0.65</v>
      </c>
      <c r="D120" s="156" t="s">
        <v>120</v>
      </c>
      <c r="E120" s="245">
        <f>+$O119*$F119*$M120/($F$7*$Q120)</f>
        <v>5.2631578947368416</v>
      </c>
      <c r="F120" s="156" t="s">
        <v>119</v>
      </c>
      <c r="G120" s="246">
        <f>+VLOOKUP($J119,Data!$Q$9:$BQ$17,Data!$BP$8,FALSE)</f>
        <v>8</v>
      </c>
      <c r="H120" s="143" t="s">
        <v>116</v>
      </c>
      <c r="I120" s="155">
        <f>IF(VLOOKUP($F$4,Data!$G$9:$L$16,Data!$L$8,FALSE)&lt;1,VLOOKUP($F$4,Data!$G$9:$L$16,Data!$L$8,FALSE),1)</f>
        <v>1</v>
      </c>
      <c r="J120" s="143" t="s">
        <v>117</v>
      </c>
      <c r="K120" s="240">
        <f>IF(VLOOKUP($F$4,Data!$G$9:$L$16,Data!$L$8,FALSE)="software",IF($C120&gt;0.75,1,$C120+0.1),1)</f>
        <v>0.75</v>
      </c>
      <c r="L120" s="143" t="s">
        <v>109</v>
      </c>
      <c r="M120" s="246">
        <f>+VLOOKUP($F$4,Data!$G$9:$L$16,Data!$I$8)</f>
        <v>1</v>
      </c>
      <c r="N120" s="143" t="s">
        <v>108</v>
      </c>
      <c r="O120" s="247">
        <f>INT($F$6/$M120)+IF(($F$6/$M120-INT($F$6/$M120))&gt;0,1,0)</f>
        <v>20</v>
      </c>
      <c r="P120" s="143" t="s">
        <v>121</v>
      </c>
      <c r="Q120" s="143">
        <f>VLOOKUP($F$5,Data!$A$9:$C$19,Data!$B$8,FALSE)</f>
        <v>19</v>
      </c>
      <c r="R120" s="144" t="s">
        <v>25</v>
      </c>
      <c r="S120" s="247">
        <f>VLOOKUP($F$3,Data!$A$33:$CN$78,Data!$CB$32,FALSE)</f>
        <v>300</v>
      </c>
      <c r="T120" s="144" t="s">
        <v>26</v>
      </c>
      <c r="U120" s="247">
        <f>IF(VLOOKUP($F$3,Data!$A$33:$CN$78,Data!$CC$32)="N/A",10000000,VLOOKUP($F$3,Data!$A$33:$CN$78,Data!$CC$32,FALSE))</f>
        <v>500</v>
      </c>
      <c r="V120" s="144" t="s">
        <v>40</v>
      </c>
      <c r="W120" s="158" t="str">
        <f>VLOOKUP($F$3,Data!$A$33:$CN$78,Data!CD$32,FALSE)</f>
        <v>TOU</v>
      </c>
      <c r="X120" s="157" t="s">
        <v>144</v>
      </c>
      <c r="Y120" s="248">
        <f>VLOOKUP($F$3,Data!$A$33:$CN$78,Data!$BZ$32)</f>
        <v>3</v>
      </c>
      <c r="Z120" s="144"/>
      <c r="AA120" s="144"/>
      <c r="AB120" s="144"/>
      <c r="AC120" s="144"/>
      <c r="AD120" s="144"/>
      <c r="AE120" s="144"/>
      <c r="AF120" s="255"/>
      <c r="AG120" s="140"/>
      <c r="AH120" s="140"/>
      <c r="AI120" s="137"/>
      <c r="AK120" s="139"/>
      <c r="AL120" s="141"/>
      <c r="AM120" s="141"/>
    </row>
    <row r="121" spans="2:39" ht="15.75" hidden="1" outlineLevel="1" x14ac:dyDescent="0.25">
      <c r="B121" s="187"/>
      <c r="C121" s="130" t="s">
        <v>222</v>
      </c>
      <c r="D121" s="65"/>
      <c r="E121" s="65"/>
      <c r="F121" s="6"/>
      <c r="G121" s="6"/>
      <c r="H121" s="66" t="s">
        <v>74</v>
      </c>
      <c r="I121" s="66" t="s">
        <v>75</v>
      </c>
      <c r="J121" s="66" t="s">
        <v>76</v>
      </c>
      <c r="K121" s="66" t="s">
        <v>77</v>
      </c>
      <c r="L121" s="66" t="s">
        <v>78</v>
      </c>
      <c r="M121" s="66" t="s">
        <v>79</v>
      </c>
      <c r="N121" s="66" t="s">
        <v>80</v>
      </c>
      <c r="O121" s="66" t="s">
        <v>81</v>
      </c>
      <c r="P121" s="66" t="s">
        <v>82</v>
      </c>
      <c r="Q121" s="66" t="s">
        <v>83</v>
      </c>
      <c r="R121" s="66" t="s">
        <v>84</v>
      </c>
      <c r="S121" s="66" t="s">
        <v>85</v>
      </c>
      <c r="T121" s="66" t="s">
        <v>86</v>
      </c>
      <c r="U121" s="66" t="s">
        <v>87</v>
      </c>
      <c r="V121" s="66" t="s">
        <v>88</v>
      </c>
      <c r="W121" s="66" t="s">
        <v>89</v>
      </c>
      <c r="X121" s="66" t="s">
        <v>90</v>
      </c>
      <c r="Y121" s="66" t="s">
        <v>91</v>
      </c>
      <c r="Z121" s="66" t="s">
        <v>92</v>
      </c>
      <c r="AA121" s="66" t="s">
        <v>93</v>
      </c>
      <c r="AB121" s="66" t="s">
        <v>94</v>
      </c>
      <c r="AC121" s="66" t="s">
        <v>95</v>
      </c>
      <c r="AD121" s="66" t="s">
        <v>96</v>
      </c>
      <c r="AE121" s="66" t="s">
        <v>97</v>
      </c>
      <c r="AF121" s="188"/>
      <c r="AI121" s="23"/>
      <c r="AJ121" s="23"/>
      <c r="AK121" s="102"/>
    </row>
    <row r="122" spans="2:39" ht="15.75" hidden="1" outlineLevel="1" x14ac:dyDescent="0.25">
      <c r="B122" s="187"/>
      <c r="C122" s="295" t="str">
        <f>J119</f>
        <v>Late Evening (10p-6a)</v>
      </c>
      <c r="D122" s="296"/>
      <c r="E122" s="296"/>
      <c r="F122" s="296"/>
      <c r="G122" s="297"/>
      <c r="H122" s="151">
        <f>$I120*$K120*VLOOKUP($C122,Data!$Q$9:$BO$17,Data!T$8,FALSE)</f>
        <v>0</v>
      </c>
      <c r="I122" s="151">
        <f>$I120*$K120*VLOOKUP($C122,Data!$Q$9:$BO$17,Data!U$8,FALSE)</f>
        <v>0</v>
      </c>
      <c r="J122" s="151">
        <f>$I120*$K120*VLOOKUP($C122,Data!$Q$9:$BO$17,Data!V$8,FALSE)</f>
        <v>0</v>
      </c>
      <c r="K122" s="151">
        <f>$I120*$K120*VLOOKUP($C122,Data!$Q$9:$BO$17,Data!W$8,FALSE)</f>
        <v>0</v>
      </c>
      <c r="L122" s="151">
        <f>$I120*$K120*VLOOKUP($C122,Data!$Q$9:$BO$17,Data!X$8,FALSE)</f>
        <v>0</v>
      </c>
      <c r="M122" s="151">
        <f>$I120*$K120*VLOOKUP($C122,Data!$Q$9:$BO$17,Data!Y$8,FALSE)</f>
        <v>0</v>
      </c>
      <c r="N122" s="151">
        <f>$I120*$K120*VLOOKUP($C122,Data!$Q$9:$BO$17,Data!Z$8,FALSE)</f>
        <v>0</v>
      </c>
      <c r="O122" s="151">
        <f>$I120*$K120*VLOOKUP($C122,Data!$Q$9:$BO$17,Data!AA$8,FALSE)</f>
        <v>0</v>
      </c>
      <c r="P122" s="151">
        <f>$I120*$K120*VLOOKUP($C122,Data!$Q$9:$BO$17,Data!AB$8,FALSE)</f>
        <v>0</v>
      </c>
      <c r="Q122" s="151">
        <f>$I120*$K120*VLOOKUP($C122,Data!$Q$9:$BO$17,Data!AC$8,FALSE)</f>
        <v>0</v>
      </c>
      <c r="R122" s="151">
        <f>$I120*$K120*VLOOKUP($C122,Data!$Q$9:$BO$17,Data!AD$8,FALSE)</f>
        <v>0.75</v>
      </c>
      <c r="S122" s="151">
        <f>$I120*$K120*VLOOKUP($C122,Data!$Q$9:$BO$17,Data!AE$8,FALSE)</f>
        <v>0.75</v>
      </c>
      <c r="T122" s="151">
        <f>$I120*$K120*VLOOKUP($C122,Data!$Q$9:$BO$17,Data!AF$8,FALSE)</f>
        <v>0.75</v>
      </c>
      <c r="U122" s="151">
        <f>$I120*$K120*VLOOKUP($C122,Data!$Q$9:$BO$17,Data!AG$8,FALSE)</f>
        <v>0.75</v>
      </c>
      <c r="V122" s="151">
        <f>$I120*$K120*VLOOKUP($C122,Data!$Q$9:$BO$17,Data!AH$8,FALSE)</f>
        <v>0.75</v>
      </c>
      <c r="W122" s="151">
        <f>$I120*$K120*VLOOKUP($C122,Data!$Q$9:$BO$17,Data!AI$8,FALSE)</f>
        <v>0.75</v>
      </c>
      <c r="X122" s="151">
        <f>$I120*$K120*VLOOKUP($C122,Data!$Q$9:$BO$17,Data!AJ$8,FALSE)</f>
        <v>0.75</v>
      </c>
      <c r="Y122" s="151">
        <f>$I120*$K120*VLOOKUP($C122,Data!$Q$9:$BO$17,Data!AK$8,FALSE)</f>
        <v>0.75</v>
      </c>
      <c r="Z122" s="151">
        <f>$I120*$K120*VLOOKUP($C122,Data!$Q$9:$BO$17,Data!AL$8,FALSE)</f>
        <v>0</v>
      </c>
      <c r="AA122" s="151">
        <f>$I120*$K120*VLOOKUP($C122,Data!$Q$9:$BO$17,Data!AM$8,FALSE)</f>
        <v>0</v>
      </c>
      <c r="AB122" s="151">
        <f>$I120*$K120*VLOOKUP($C122,Data!$Q$9:$BO$17,Data!AN$8,FALSE)</f>
        <v>0</v>
      </c>
      <c r="AC122" s="151">
        <f>$I120*$K120*VLOOKUP($C122,Data!$Q$9:$BO$17,Data!AO$8,FALSE)</f>
        <v>0</v>
      </c>
      <c r="AD122" s="151">
        <f>$I120*$K120*VLOOKUP($C122,Data!$Q$9:$BO$17,Data!AP$8,FALSE)</f>
        <v>0</v>
      </c>
      <c r="AE122" s="151">
        <f>$I120*$K120*VLOOKUP($C122,Data!$Q$9:$BO$17,Data!AQ$8,FALSE)</f>
        <v>0</v>
      </c>
      <c r="AF122" s="189"/>
      <c r="AI122" s="68"/>
    </row>
    <row r="123" spans="2:39" ht="15.75" hidden="1" outlineLevel="1" x14ac:dyDescent="0.25">
      <c r="B123" s="187"/>
      <c r="C123" s="126" t="s">
        <v>197</v>
      </c>
      <c r="D123" s="6"/>
      <c r="E123" s="6"/>
      <c r="F123" s="6"/>
      <c r="G123" s="6"/>
      <c r="H123" s="133" t="str">
        <f>IF(VLOOKUP($F$3,Data!$A$33:$BY$78,Data!$BW$32,FALSE)=1,VLOOKUP($F$3,Data!$A$33:$BM$78,Data!R$32,FALSE),VLOOKUP($F$3,Data!$A$33:$BM$78,Data!AP$32,FALSE))</f>
        <v>m</v>
      </c>
      <c r="I123" s="133" t="str">
        <f>IF(VLOOKUP($F$3,Data!$A$33:$BY$78,Data!$BW$32,FALSE)=1,VLOOKUP($F$3,Data!$A$33:$BM$78,Data!S$32,FALSE),VLOOKUP($F$3,Data!$A$33:$BM$78,Data!AQ$32,FALSE))</f>
        <v>m</v>
      </c>
      <c r="J123" s="133" t="str">
        <f>IF(VLOOKUP($F$3,Data!$A$33:$BY$78,Data!$BW$32,FALSE)=1,VLOOKUP($F$3,Data!$A$33:$BM$78,Data!T$32,FALSE),VLOOKUP($F$3,Data!$A$33:$BM$78,Data!AR$32,FALSE))</f>
        <v>m</v>
      </c>
      <c r="K123" s="133" t="str">
        <f>IF(VLOOKUP($F$3,Data!$A$33:$BY$78,Data!$BW$32,FALSE)=1,VLOOKUP($F$3,Data!$A$33:$BM$78,Data!U$32,FALSE),VLOOKUP($F$3,Data!$A$33:$BM$78,Data!AS$32,FALSE))</f>
        <v>m</v>
      </c>
      <c r="L123" s="133" t="str">
        <f>IF(VLOOKUP($F$3,Data!$A$33:$BY$78,Data!$BW$32,FALSE)=1,VLOOKUP($F$3,Data!$A$33:$BM$78,Data!V$32,FALSE),VLOOKUP($F$3,Data!$A$33:$BM$78,Data!AT$32,FALSE))</f>
        <v>m</v>
      </c>
      <c r="M123" s="133" t="str">
        <f>IF(VLOOKUP($F$3,Data!$A$33:$BY$78,Data!$BW$32,FALSE)=1,VLOOKUP($F$3,Data!$A$33:$BM$78,Data!W$32,FALSE),VLOOKUP($F$3,Data!$A$33:$BM$78,Data!AU$32,FALSE))</f>
        <v>m</v>
      </c>
      <c r="N123" s="133" t="str">
        <f>IF(VLOOKUP($F$3,Data!$A$33:$BY$78,Data!$BW$32,FALSE)=1,VLOOKUP($F$3,Data!$A$33:$BM$78,Data!X$32,FALSE),VLOOKUP($F$3,Data!$A$33:$BM$78,Data!AV$32,FALSE))</f>
        <v>m</v>
      </c>
      <c r="O123" s="133" t="str">
        <f>IF(VLOOKUP($F$3,Data!$A$33:$BY$78,Data!$BW$32,FALSE)=1,VLOOKUP($F$3,Data!$A$33:$BM$78,Data!Y$32,FALSE),VLOOKUP($F$3,Data!$A$33:$BM$78,Data!AW$32,FALSE))</f>
        <v>m</v>
      </c>
      <c r="P123" s="133" t="str">
        <f>IF(VLOOKUP($F$3,Data!$A$33:$BY$78,Data!$BW$32,FALSE)=1,VLOOKUP($F$3,Data!$A$33:$BM$78,Data!Z$32,FALSE),VLOOKUP($F$3,Data!$A$33:$BM$78,Data!AX$32,FALSE))</f>
        <v>m</v>
      </c>
      <c r="Q123" s="133" t="str">
        <f>IF(VLOOKUP($F$3,Data!$A$33:$BY$78,Data!$BW$32,FALSE)=1,VLOOKUP($F$3,Data!$A$33:$BM$78,Data!AA$32,FALSE),VLOOKUP($F$3,Data!$A$33:$BM$78,Data!AY$32,FALSE))</f>
        <v>m</v>
      </c>
      <c r="R123" s="133" t="str">
        <f>IF(VLOOKUP($F$3,Data!$A$33:$BY$78,Data!$BW$32,FALSE)=1,VLOOKUP($F$3,Data!$A$33:$BM$78,Data!AB$32,FALSE),VLOOKUP($F$3,Data!$A$33:$BM$78,Data!AZ$32,FALSE))</f>
        <v>o</v>
      </c>
      <c r="S123" s="133" t="str">
        <f>IF(VLOOKUP($F$3,Data!$A$33:$BY$78,Data!$BW$32,FALSE)=1,VLOOKUP($F$3,Data!$A$33:$BM$78,Data!AC$32,FALSE),VLOOKUP($F$3,Data!$A$33:$BM$78,Data!BA$32,FALSE))</f>
        <v>o</v>
      </c>
      <c r="T123" s="133" t="str">
        <f>IF(VLOOKUP($F$3,Data!$A$33:$BY$78,Data!$BW$32,FALSE)=1,VLOOKUP($F$3,Data!$A$33:$BM$78,Data!AD$32,FALSE),VLOOKUP($F$3,Data!$A$33:$BM$78,Data!BB$32,FALSE))</f>
        <v>o</v>
      </c>
      <c r="U123" s="133" t="str">
        <f>IF(VLOOKUP($F$3,Data!$A$33:$BY$78,Data!$BW$32,FALSE)=1,VLOOKUP($F$3,Data!$A$33:$BM$78,Data!AE$32,FALSE),VLOOKUP($F$3,Data!$A$33:$BM$78,Data!BC$32,FALSE))</f>
        <v>o</v>
      </c>
      <c r="V123" s="133" t="str">
        <f>IF(VLOOKUP($F$3,Data!$A$33:$BY$78,Data!$BW$32,FALSE)=1,VLOOKUP($F$3,Data!$A$33:$BM$78,Data!AF$32,FALSE),VLOOKUP($F$3,Data!$A$33:$BM$78,Data!BD$32,FALSE))</f>
        <v>o</v>
      </c>
      <c r="W123" s="133" t="str">
        <f>IF(VLOOKUP($F$3,Data!$A$33:$BY$78,Data!$BW$32,FALSE)=1,VLOOKUP($F$3,Data!$A$33:$BM$78,Data!AG$32,FALSE),VLOOKUP($F$3,Data!$A$33:$BM$78,Data!BE$32,FALSE))</f>
        <v>o</v>
      </c>
      <c r="X123" s="133" t="str">
        <f>IF(VLOOKUP($F$3,Data!$A$33:$BY$78,Data!$BW$32,FALSE)=1,VLOOKUP($F$3,Data!$A$33:$BM$78,Data!AH$32,FALSE),VLOOKUP($F$3,Data!$A$33:$BM$78,Data!BF$32,FALSE))</f>
        <v>o</v>
      </c>
      <c r="Y123" s="133" t="str">
        <f>IF(VLOOKUP($F$3,Data!$A$33:$BY$78,Data!$BW$32,FALSE)=1,VLOOKUP($F$3,Data!$A$33:$BM$78,Data!AI$32,FALSE),VLOOKUP($F$3,Data!$A$33:$BM$78,Data!BG$32,FALSE))</f>
        <v>o</v>
      </c>
      <c r="Z123" s="133" t="str">
        <f>IF(VLOOKUP($F$3,Data!$A$33:$BY$78,Data!$BW$32,FALSE)=1,VLOOKUP($F$3,Data!$A$33:$BM$78,Data!AJ$32,FALSE),VLOOKUP($F$3,Data!$A$33:$BM$78,Data!BH$32,FALSE))</f>
        <v>o</v>
      </c>
      <c r="AA123" s="133" t="str">
        <f>IF(VLOOKUP($F$3,Data!$A$33:$BY$78,Data!$BW$32,FALSE)=1,VLOOKUP($F$3,Data!$A$33:$BM$78,Data!AK$32,FALSE),VLOOKUP($F$3,Data!$A$33:$BM$78,Data!BI$32,FALSE))</f>
        <v>o</v>
      </c>
      <c r="AB123" s="133" t="str">
        <f>IF(VLOOKUP($F$3,Data!$A$33:$BY$78,Data!$BW$32,FALSE)=1,VLOOKUP($F$3,Data!$A$33:$BM$78,Data!AL$32,FALSE),VLOOKUP($F$3,Data!$A$33:$BM$78,Data!BJ$32,FALSE))</f>
        <v>o</v>
      </c>
      <c r="AC123" s="133" t="str">
        <f>IF(VLOOKUP($F$3,Data!$A$33:$BY$78,Data!$BW$32,FALSE)=1,VLOOKUP($F$3,Data!$A$33:$BM$78,Data!AM$32,FALSE),VLOOKUP($F$3,Data!$A$33:$BM$78,Data!BK$32,FALSE))</f>
        <v>o</v>
      </c>
      <c r="AD123" s="133" t="str">
        <f>IF(VLOOKUP($F$3,Data!$A$33:$BY$78,Data!$BW$32,FALSE)=1,VLOOKUP($F$3,Data!$A$33:$BM$78,Data!AN$32,FALSE),VLOOKUP($F$3,Data!$A$33:$BM$78,Data!BL$32,FALSE))</f>
        <v>o</v>
      </c>
      <c r="AE123" s="133" t="str">
        <f>IF(VLOOKUP($F$3,Data!$A$33:$BY$78,Data!$BW$32,FALSE)=1,VLOOKUP($F$3,Data!$A$33:$BM$78,Data!AO$32,FALSE),VLOOKUP($F$3,Data!$A$33:$BM$78,Data!BM$32,FALSE))</f>
        <v>o</v>
      </c>
      <c r="AF123" s="189"/>
      <c r="AI123" s="23"/>
      <c r="AJ123" s="23"/>
      <c r="AK123" s="102"/>
    </row>
    <row r="124" spans="2:39" ht="15.75" hidden="1" outlineLevel="1" x14ac:dyDescent="0.25">
      <c r="B124" s="187"/>
      <c r="C124" s="126"/>
      <c r="D124" s="6"/>
      <c r="E124" s="6"/>
      <c r="F124" s="6"/>
      <c r="G124" s="6"/>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89"/>
      <c r="AI124" s="23"/>
      <c r="AJ124" s="23"/>
      <c r="AK124" s="102"/>
    </row>
    <row r="125" spans="2:39" ht="16.5" hidden="1" outlineLevel="1" thickBot="1" x14ac:dyDescent="0.3">
      <c r="B125" s="187"/>
      <c r="C125" s="73" t="s">
        <v>198</v>
      </c>
      <c r="D125" s="73"/>
      <c r="E125" s="73"/>
      <c r="F125" s="73"/>
      <c r="G125" s="259" t="str">
        <f>IF($W$12="Tier","Tier 1","On-Peak")</f>
        <v>On-Peak</v>
      </c>
      <c r="H125" s="259"/>
      <c r="I125" s="259" t="str">
        <f>IF($W$12="Tier","Tier 2","Mid-Peak")</f>
        <v>Mid-Peak</v>
      </c>
      <c r="J125" s="259"/>
      <c r="K125" s="259" t="str">
        <f>IF($W$12="Tier","Tier 3","Off-Peak")</f>
        <v>Off-Peak</v>
      </c>
      <c r="L125" s="259"/>
      <c r="M125" s="259" t="s">
        <v>12</v>
      </c>
      <c r="N125" s="259"/>
      <c r="O125" s="6"/>
      <c r="P125" s="6"/>
      <c r="Q125" s="243" t="str">
        <f>IF($W12="Subscription","October Subscription","October Demand")</f>
        <v>October Demand</v>
      </c>
      <c r="R125" s="243"/>
      <c r="S125" s="236"/>
      <c r="T125" s="259" t="str">
        <f>IF(ISNUMBER(FIND("SDG&amp;E AL-TOU2",$F$3)),"TOU Demand","")</f>
        <v/>
      </c>
      <c r="U125" s="259"/>
      <c r="V125" s="259" t="str">
        <f>IF($W120="Subscription","Subscription","Maximum")</f>
        <v>Maximum</v>
      </c>
      <c r="W125" s="259"/>
      <c r="X125" s="259" t="s">
        <v>60</v>
      </c>
      <c r="Y125" s="259"/>
      <c r="Z125" s="259" t="s">
        <v>61</v>
      </c>
      <c r="AA125" s="259"/>
      <c r="AB125" s="259" t="s">
        <v>55</v>
      </c>
      <c r="AC125" s="259"/>
      <c r="AD125" s="259" t="s">
        <v>12</v>
      </c>
      <c r="AE125" s="259"/>
      <c r="AF125" s="189"/>
    </row>
    <row r="126" spans="2:39" ht="15" hidden="1" customHeight="1" outlineLevel="1" x14ac:dyDescent="0.25">
      <c r="B126" s="187"/>
      <c r="C126" s="6" t="s">
        <v>103</v>
      </c>
      <c r="D126" s="6"/>
      <c r="E126" s="6"/>
      <c r="F126" s="6"/>
      <c r="G126" s="260">
        <f>SUMIF($H123:$AE123,"p",$H122:$AE122)/SUM($H122:$AE122)</f>
        <v>0</v>
      </c>
      <c r="H126" s="260"/>
      <c r="I126" s="260">
        <f>SUMIF($H123:$AE123,"m",$H122:$AE122)/SUM($H122:$AE122)</f>
        <v>0</v>
      </c>
      <c r="J126" s="260"/>
      <c r="K126" s="284">
        <f>SUMIF($H123:$AE123,"o",$H122:$AE122)/SUM($H122:$AE122)</f>
        <v>1</v>
      </c>
      <c r="L126" s="284"/>
      <c r="M126" s="6"/>
      <c r="N126" s="6"/>
      <c r="O126" s="6"/>
      <c r="P126" s="6"/>
      <c r="Q126" s="6" t="s">
        <v>104</v>
      </c>
      <c r="R126" s="6"/>
      <c r="S126" s="6"/>
      <c r="T126" s="291" t="str">
        <f>IF(ISNUMBER(FIND("SDG&amp;E AL-TOU2",$F$3)),MAX($X126:$AA126),"")</f>
        <v/>
      </c>
      <c r="U126" s="291"/>
      <c r="V126" s="260">
        <f>IF($W120="Subscription","",MAX($X126:$AC126))</f>
        <v>0.75</v>
      </c>
      <c r="W126" s="260"/>
      <c r="X126" s="284">
        <f t="array" ref="X126">MAX(IF($H123:$AE123="p",$H122:$AE122))</f>
        <v>0</v>
      </c>
      <c r="Y126" s="284"/>
      <c r="Z126" s="284">
        <f t="array" ref="Z126">MAX(IF($H123:$AE123="m",$H122:$AE122))</f>
        <v>0</v>
      </c>
      <c r="AA126" s="284"/>
      <c r="AB126" s="284">
        <f t="array" ref="AB126">MAX(IF($H123:$AE123="o",$H122:$AE122))</f>
        <v>0.75</v>
      </c>
      <c r="AC126" s="284"/>
      <c r="AD126" s="6"/>
      <c r="AE126" s="6"/>
      <c r="AF126" s="189"/>
    </row>
    <row r="127" spans="2:39" ht="15.75" hidden="1" outlineLevel="1" x14ac:dyDescent="0.25">
      <c r="B127" s="187"/>
      <c r="C127" s="6" t="s">
        <v>101</v>
      </c>
      <c r="D127" s="6"/>
      <c r="E127" s="6"/>
      <c r="F127" s="6"/>
      <c r="G127" s="265">
        <f>IF( $W$12="Tier",IF(OR(VLOOKUP($F$3,Data!$A$33:$CN$78,Data!CM$32,FALSE)&gt;$M127,VLOOKUP($F$3,Data!$A$33:$CN$78,Data!CM$32,FALSE)=0),$M127,VLOOKUP($F$3,Data!$A$33:$CN$78,Data!CM$32,FALSE)),$M127*$G126)</f>
        <v>0</v>
      </c>
      <c r="H127" s="265"/>
      <c r="I127" s="265">
        <f>IF(
 $W$12="Tier",
 IF(
  OR($M127&lt;VLOOKUP($F$3,Data!$A$33:$CN$78,Data!CM$32,FALSE),VLOOKUP($F$3,Data!$A$33:$CN$78,Data!CM$32,FALSE)=0),
  0,
   IF(
    OR($M127&gt;VLOOKUP($F$3,Data!$A$33:$CN$78,Data!CM$32,FALSE),VLOOKUP($F$3,Data!$A$33:$CN$78,Data!CN$32,FALSE)=0),
    $M127-VLOOKUP($F$3,Data!$A$33:$CN$78,Data!CM$32,FALSE),
    VLOOKUP($F$3,Data!$A$33:$CN$78,Data!CN$32,FALSE)-VLOOKUP($F$3,Data!$A$33:$CN$78,Data!CM$32,FALSE)
   )
 ),
 $M127*$I126)</f>
        <v>0</v>
      </c>
      <c r="J127" s="265"/>
      <c r="K127" s="265">
        <f>IF($W$12="Tier",M127-SUM(G127:J127),$M127*K126)</f>
        <v>62000</v>
      </c>
      <c r="L127" s="265"/>
      <c r="M127" s="261">
        <f>+$O$119*F119*$F$6*31/$F$7</f>
        <v>62000</v>
      </c>
      <c r="N127" s="261"/>
      <c r="O127" s="6"/>
      <c r="P127" s="6"/>
      <c r="Q127" s="6" t="s">
        <v>107</v>
      </c>
      <c r="R127" s="6"/>
      <c r="S127" s="6"/>
      <c r="T127" s="262" t="str">
        <f>IF(ISNUMBER(FIND("SDG&amp;E AL-TOU2",$F$3)),ROUND(MAX($X127:$AA127),0),"")</f>
        <v/>
      </c>
      <c r="U127" s="262"/>
      <c r="V127" s="261">
        <f>IF($W120="Subscription",$F$9,ROUND(MAX($X127:$AC127),0))</f>
        <v>285</v>
      </c>
      <c r="W127" s="262"/>
      <c r="X127" s="265">
        <f>VLOOKUP($F$5,Data!$A$9:$C$21,Data!$B$8,FALSE)*$O120*$X126</f>
        <v>0</v>
      </c>
      <c r="Y127" s="265"/>
      <c r="Z127" s="265">
        <f>VLOOKUP($F$5,Data!$A$9:$C$21,Data!$B$8,FALSE)*$O120*$Z126</f>
        <v>0</v>
      </c>
      <c r="AA127" s="265"/>
      <c r="AB127" s="265">
        <f>VLOOKUP($F$5,Data!$A$9:$C$21,Data!$B$8,FALSE)*$O120*$AB126</f>
        <v>285</v>
      </c>
      <c r="AC127" s="265"/>
      <c r="AD127" s="261"/>
      <c r="AE127" s="261"/>
      <c r="AF127" s="189"/>
    </row>
    <row r="128" spans="2:39" ht="16.5" hidden="1" outlineLevel="1" thickBot="1" x14ac:dyDescent="0.3">
      <c r="B128" s="187"/>
      <c r="C128" s="56" t="s">
        <v>100</v>
      </c>
      <c r="D128" s="56"/>
      <c r="E128" s="56"/>
      <c r="F128" s="56"/>
      <c r="G128" s="263">
        <f>IF($W$12="Tier",IF(VLOOKUP($F$3,Data!$A$33:$CN$78,Data!BW$32,FALSE)=1,VLOOKUP($F$3,Data!$A$33:$CN$78,Data!CE$32,FALSE),VLOOKUP($F$3,Data!$A$33:$CN$78,Data!CJ$32,FALSE)),IF(VLOOKUP($F$3,Data!$A$33:$CN$78,Data!BW$32,FALSE)=1,VLOOKUP($F$3,Data!$A$33:$CN$78,Data!$K$32,FALSE),VLOOKUP($F$3,Data!$A$33:$CN$78,Data!$N$32,FALSE)))</f>
        <v>0.10590000000000001</v>
      </c>
      <c r="H128" s="263"/>
      <c r="I128" s="263">
        <f>IF($W$12="Tier",IF(VLOOKUP($F$3,Data!$A$33:$CN$78,Data!BW$32,FALSE) = 1,VLOOKUP($F$3,Data!$A$33:$CN$78,Data!CF$32,FALSE),VLOOKUP($F$3,Data!$A$33:$CN$78,Data!CK$32,FALSE)),IF(VLOOKUP($F$3,Data!$A$33:$CN$78,Data!BW$32,FALSE) = 1,VLOOKUP($F$3,Data!$A$33:$CN$78,Data!$L$32,FALSE),VLOOKUP($F$3,Data!$A$33:$CN$78,Data!$O$32,FALSE)))</f>
        <v>0</v>
      </c>
      <c r="J128" s="263"/>
      <c r="K128" s="263">
        <f>IF($W$12="Tier",IF(VLOOKUP($F$3,Data!$A$33:$CN$78,Data!BW$32,FALSE) = 1,VLOOKUP($F$3,Data!$A$33:$CN$78,Data!CG$32,FALSE),VLOOKUP($F$3,Data!$A$33:$CN$78,Data!CL$32,FALSE)),IF(VLOOKUP($F$3,Data!$A$33:$CN$78,Data!BW$32,FALSE) = 1,VLOOKUP($F$3,Data!$A$33:$CN$78,Data!$M$32,FALSE),VLOOKUP($F$3,Data!$A$33:$CN$78,Data!$P$32,FALSE)))</f>
        <v>8.4400000000000003E-2</v>
      </c>
      <c r="L128" s="263"/>
      <c r="M128" s="266"/>
      <c r="N128" s="266"/>
      <c r="O128" s="6"/>
      <c r="P128" s="6"/>
      <c r="Q128" s="56" t="str">
        <f>IF($W120="Subscription","Subscription Rate ($/kW)","Demand Rate ($/kW)")</f>
        <v>Demand Rate ($/kW)</v>
      </c>
      <c r="R128" s="56"/>
      <c r="S128" s="56"/>
      <c r="T128" s="263" t="str">
        <f>IF(ISNUMBER(FIND("SDG&amp;E AL-TOU2",$F$3)),19.7,"")</f>
        <v/>
      </c>
      <c r="U128" s="263"/>
      <c r="V128" s="263">
        <f>IF(VLOOKUP($F$3,Data!$A$33:$CN$78,Data!BW$32,FALSE) = 1,VLOOKUP($F$3,Data!$A$33:$CN$78,Data!$C$32,FALSE),VLOOKUP($F$3,Data!$A$33:$CN$78,Data!$G$32,FALSE))</f>
        <v>3.8</v>
      </c>
      <c r="W128" s="263"/>
      <c r="X128" s="263">
        <f>IF(VLOOKUP($F$3,Data!$A$33:$CN$78,Data!BW$32,FALSE) = 1,VLOOKUP($F$3,Data!$A$33:$CN$78,Data!$D$32,FALSE),VLOOKUP($F$3,Data!$A$33:$CN$78,Data!$H$32,FALSE))</f>
        <v>0</v>
      </c>
      <c r="Y128" s="263"/>
      <c r="Z128" s="263">
        <f>IF(VLOOKUP($F$3,Data!$A$33:$CN$78,Data!BW$32,FALSE) = 1,VLOOKUP($F$3,Data!$A$33:$CN$78,Data!$E$32,FALSE),VLOOKUP($F$3,Data!$A$33:$CN$78,Data!$I$32,FALSE))</f>
        <v>0</v>
      </c>
      <c r="AA128" s="263"/>
      <c r="AB128" s="263">
        <f>IF(VLOOKUP($F$3,Data!$A$33:$CN$78,Data!BW$32,FALSE) = 1,VLOOKUP($F$3,Data!$A$33:$CN$78,Data!$F$32,FALSE),VLOOKUP($F$3,Data!$A$33:$CN$78,Data!$J$32,FALSE))</f>
        <v>0</v>
      </c>
      <c r="AC128" s="263"/>
      <c r="AD128" s="56"/>
      <c r="AE128" s="56"/>
      <c r="AF128" s="189"/>
    </row>
    <row r="129" spans="2:39" ht="15.75" hidden="1" outlineLevel="1" x14ac:dyDescent="0.25">
      <c r="B129" s="187"/>
      <c r="C129" s="92" t="s">
        <v>102</v>
      </c>
      <c r="D129" s="76"/>
      <c r="E129" s="76"/>
      <c r="F129" s="76"/>
      <c r="G129" s="270">
        <f>+G127*G128</f>
        <v>0</v>
      </c>
      <c r="H129" s="270"/>
      <c r="I129" s="269">
        <f>+I127*I128</f>
        <v>0</v>
      </c>
      <c r="J129" s="269"/>
      <c r="K129" s="270">
        <f>+K127*K128</f>
        <v>5232.8</v>
      </c>
      <c r="L129" s="270"/>
      <c r="M129" s="270">
        <f>SUM(G129:L129)</f>
        <v>5232.8</v>
      </c>
      <c r="N129" s="270"/>
      <c r="O129" s="6"/>
      <c r="P129" s="6"/>
      <c r="Q129" s="6" t="str">
        <f>IF($W120="Subscription","Subscription Fee","Demand Charge")</f>
        <v>Demand Charge</v>
      </c>
      <c r="R129" s="72"/>
      <c r="S129" s="72"/>
      <c r="T129" s="287" t="str">
        <f>IF(ISNUMBER(FIND("SDG&amp;E AL-TOU2",$F$3)),$T127*$T128,"")</f>
        <v/>
      </c>
      <c r="U129" s="287"/>
      <c r="V129" s="293">
        <f>+V127*V128</f>
        <v>1083</v>
      </c>
      <c r="W129" s="293"/>
      <c r="X129" s="293">
        <f>+X127*X128</f>
        <v>0</v>
      </c>
      <c r="Y129" s="293"/>
      <c r="Z129" s="293">
        <f>+Z127*Z128</f>
        <v>0</v>
      </c>
      <c r="AA129" s="293"/>
      <c r="AB129" s="293">
        <f>+AB127*AB128</f>
        <v>0</v>
      </c>
      <c r="AC129" s="293"/>
      <c r="AD129" s="293">
        <f>SUM(T129:AC129)</f>
        <v>1083</v>
      </c>
      <c r="AE129" s="293"/>
      <c r="AF129" s="189"/>
    </row>
    <row r="130" spans="2:39" ht="15.75" hidden="1" outlineLevel="1" x14ac:dyDescent="0.25">
      <c r="B130" s="190"/>
      <c r="C130" s="174"/>
      <c r="D130" s="175"/>
      <c r="E130" s="175"/>
      <c r="F130" s="175"/>
      <c r="G130" s="176"/>
      <c r="H130" s="176"/>
      <c r="I130" s="176"/>
      <c r="J130" s="176"/>
      <c r="K130" s="176"/>
      <c r="L130" s="176"/>
      <c r="M130" s="176"/>
      <c r="N130" s="176"/>
      <c r="O130" s="177"/>
      <c r="P130" s="177"/>
      <c r="Q130" s="177"/>
      <c r="R130" s="177"/>
      <c r="S130" s="177"/>
      <c r="T130" s="177"/>
      <c r="U130" s="177"/>
      <c r="V130" s="178"/>
      <c r="W130" s="178"/>
      <c r="X130" s="178"/>
      <c r="Y130" s="178"/>
      <c r="Z130" s="178"/>
      <c r="AA130" s="178"/>
      <c r="AB130" s="178"/>
      <c r="AC130" s="178"/>
      <c r="AD130" s="178"/>
      <c r="AE130" s="178"/>
      <c r="AF130" s="191"/>
    </row>
    <row r="131" spans="2:39" ht="15.75" collapsed="1" x14ac:dyDescent="0.25">
      <c r="B131" s="192" t="s">
        <v>199</v>
      </c>
      <c r="C131" s="6"/>
      <c r="D131" s="6"/>
      <c r="E131" s="165" t="s">
        <v>172</v>
      </c>
      <c r="F131" s="167">
        <v>120</v>
      </c>
      <c r="G131" s="169" t="s">
        <v>173</v>
      </c>
      <c r="H131" s="6"/>
      <c r="I131" s="165" t="s">
        <v>222</v>
      </c>
      <c r="J131" s="294" t="s">
        <v>367</v>
      </c>
      <c r="K131" s="294"/>
      <c r="L131" s="294"/>
      <c r="M131" s="6"/>
      <c r="N131" s="165" t="s">
        <v>205</v>
      </c>
      <c r="O131" s="170">
        <v>0.9</v>
      </c>
      <c r="P131" s="168" t="s">
        <v>206</v>
      </c>
      <c r="Q131" s="6"/>
      <c r="R131" s="76"/>
      <c r="S131" s="72"/>
      <c r="T131" s="72"/>
      <c r="U131" s="72"/>
      <c r="V131" s="171" t="str">
        <f>+"November Monthly Bill (with taxes/fees) = "</f>
        <v xml:space="preserve">November Monthly Bill (with taxes/fees) = </v>
      </c>
      <c r="W131" s="172">
        <f>(AD141+M141+VLOOKUP($F$3,Data!$A$33:$CA$78,2))*(1+$F$8)</f>
        <v>7857.6125000000002</v>
      </c>
      <c r="X131" s="72"/>
      <c r="Y131" s="68"/>
      <c r="Z131" s="223"/>
      <c r="AA131" s="239"/>
      <c r="AB131" s="239" t="str">
        <f>"Cost = $"&amp;FIXED(W131/M139,2) &amp; "/kWh"</f>
        <v>Cost = $0.11/kWh</v>
      </c>
      <c r="AC131" s="222" t="s">
        <v>344</v>
      </c>
      <c r="AD131" s="173" t="str">
        <f>"$"&amp; FIXED(W131*O131/M139,2)&amp;"/mi."</f>
        <v>$0.10/mi.</v>
      </c>
      <c r="AE131" s="72"/>
      <c r="AF131" s="189"/>
      <c r="AH131" s="88"/>
      <c r="AI131" s="23"/>
      <c r="AK131" s="102"/>
      <c r="AL131" s="23"/>
    </row>
    <row r="132" spans="2:39" s="138" customFormat="1" hidden="1" outlineLevel="1" x14ac:dyDescent="0.2">
      <c r="B132" s="186" t="s">
        <v>122</v>
      </c>
      <c r="C132" s="240">
        <f>ROUND(2*$E132/$G132,1)/2</f>
        <v>0.8</v>
      </c>
      <c r="D132" s="156" t="s">
        <v>120</v>
      </c>
      <c r="E132" s="245">
        <f>+$O131*$F131*$M132/($F$7*$Q132)</f>
        <v>6.3157894736842097</v>
      </c>
      <c r="F132" s="156" t="s">
        <v>119</v>
      </c>
      <c r="G132" s="246">
        <f>+VLOOKUP($J131,Data!$Q$9:$BQ$17,Data!$BP$8,FALSE)</f>
        <v>8</v>
      </c>
      <c r="H132" s="143" t="s">
        <v>116</v>
      </c>
      <c r="I132" s="155">
        <f>IF(VLOOKUP($F$4,Data!$G$9:$L$16,Data!$L$8,FALSE)&lt;1,VLOOKUP($F$4,Data!$G$9:$L$16,Data!$L$8,FALSE),1)</f>
        <v>1</v>
      </c>
      <c r="J132" s="143" t="s">
        <v>117</v>
      </c>
      <c r="K132" s="240">
        <f>IF(VLOOKUP($F$4,Data!$G$9:$L$16,Data!$L$8,FALSE)="software",IF($C132&gt;0.75,1,$C132+0.1),1)</f>
        <v>1</v>
      </c>
      <c r="L132" s="143" t="s">
        <v>109</v>
      </c>
      <c r="M132" s="246">
        <f>+VLOOKUP($F$4,Data!$G$9:$L$16,Data!$I$8)</f>
        <v>1</v>
      </c>
      <c r="N132" s="143" t="s">
        <v>108</v>
      </c>
      <c r="O132" s="247">
        <f>INT($F$6/$M132)+IF(($F$6/$M132-INT($F$6/$M132))&gt;0,1,0)</f>
        <v>20</v>
      </c>
      <c r="P132" s="143" t="s">
        <v>121</v>
      </c>
      <c r="Q132" s="143">
        <f>VLOOKUP($F$5,Data!$A$9:$C$19,Data!$B$8,FALSE)</f>
        <v>19</v>
      </c>
      <c r="R132" s="144" t="s">
        <v>25</v>
      </c>
      <c r="S132" s="247">
        <f>VLOOKUP($F$3,Data!$A$33:$CN$78,Data!$CB$32,FALSE)</f>
        <v>300</v>
      </c>
      <c r="T132" s="144" t="s">
        <v>26</v>
      </c>
      <c r="U132" s="247">
        <f>IF(VLOOKUP($F$3,Data!$A$33:$CN$78,Data!$CC$32)="N/A",10000000,VLOOKUP($F$3,Data!$A$33:$CN$78,Data!$CC$32,FALSE))</f>
        <v>500</v>
      </c>
      <c r="V132" s="144" t="s">
        <v>40</v>
      </c>
      <c r="W132" s="158" t="str">
        <f>VLOOKUP($F$3,Data!$A$33:$CN$78,Data!CD$32,FALSE)</f>
        <v>TOU</v>
      </c>
      <c r="X132" s="157" t="s">
        <v>144</v>
      </c>
      <c r="Y132" s="248">
        <f>VLOOKUP($F$3,Data!$A$33:$CN$78,Data!$BZ$32)</f>
        <v>3</v>
      </c>
      <c r="Z132" s="144"/>
      <c r="AA132" s="144"/>
      <c r="AB132" s="144"/>
      <c r="AC132" s="144"/>
      <c r="AD132" s="144"/>
      <c r="AE132" s="144"/>
      <c r="AF132" s="255"/>
      <c r="AG132" s="140"/>
      <c r="AH132" s="140"/>
      <c r="AI132" s="137"/>
      <c r="AK132" s="139"/>
      <c r="AL132" s="141"/>
      <c r="AM132" s="141"/>
    </row>
    <row r="133" spans="2:39" ht="15.75" hidden="1" outlineLevel="1" x14ac:dyDescent="0.25">
      <c r="B133" s="187"/>
      <c r="C133" s="130" t="s">
        <v>222</v>
      </c>
      <c r="D133" s="65"/>
      <c r="E133" s="65"/>
      <c r="F133" s="6"/>
      <c r="G133" s="6"/>
      <c r="H133" s="66" t="s">
        <v>74</v>
      </c>
      <c r="I133" s="66" t="s">
        <v>75</v>
      </c>
      <c r="J133" s="66" t="s">
        <v>76</v>
      </c>
      <c r="K133" s="66" t="s">
        <v>77</v>
      </c>
      <c r="L133" s="66" t="s">
        <v>78</v>
      </c>
      <c r="M133" s="66" t="s">
        <v>79</v>
      </c>
      <c r="N133" s="66" t="s">
        <v>80</v>
      </c>
      <c r="O133" s="66" t="s">
        <v>81</v>
      </c>
      <c r="P133" s="66" t="s">
        <v>82</v>
      </c>
      <c r="Q133" s="66" t="s">
        <v>83</v>
      </c>
      <c r="R133" s="66" t="s">
        <v>84</v>
      </c>
      <c r="S133" s="66" t="s">
        <v>85</v>
      </c>
      <c r="T133" s="66" t="s">
        <v>86</v>
      </c>
      <c r="U133" s="66" t="s">
        <v>87</v>
      </c>
      <c r="V133" s="66" t="s">
        <v>88</v>
      </c>
      <c r="W133" s="66" t="s">
        <v>89</v>
      </c>
      <c r="X133" s="66" t="s">
        <v>90</v>
      </c>
      <c r="Y133" s="66" t="s">
        <v>91</v>
      </c>
      <c r="Z133" s="66" t="s">
        <v>92</v>
      </c>
      <c r="AA133" s="66" t="s">
        <v>93</v>
      </c>
      <c r="AB133" s="66" t="s">
        <v>94</v>
      </c>
      <c r="AC133" s="66" t="s">
        <v>95</v>
      </c>
      <c r="AD133" s="66" t="s">
        <v>96</v>
      </c>
      <c r="AE133" s="66" t="s">
        <v>97</v>
      </c>
      <c r="AF133" s="188"/>
      <c r="AI133" s="23"/>
      <c r="AJ133" s="23"/>
      <c r="AK133" s="102"/>
    </row>
    <row r="134" spans="2:39" ht="15.75" hidden="1" outlineLevel="1" x14ac:dyDescent="0.25">
      <c r="B134" s="187"/>
      <c r="C134" s="295" t="str">
        <f>J131</f>
        <v>Late Evening (10p-6a)</v>
      </c>
      <c r="D134" s="296"/>
      <c r="E134" s="296"/>
      <c r="F134" s="296"/>
      <c r="G134" s="297"/>
      <c r="H134" s="151">
        <f>$I132*$K132*VLOOKUP($C134,Data!$Q$9:$BO$17,Data!T$8,FALSE)</f>
        <v>0</v>
      </c>
      <c r="I134" s="151">
        <f>$I132*$K132*VLOOKUP($C134,Data!$Q$9:$BO$17,Data!U$8,FALSE)</f>
        <v>0</v>
      </c>
      <c r="J134" s="151">
        <f>$I132*$K132*VLOOKUP($C134,Data!$Q$9:$BO$17,Data!V$8,FALSE)</f>
        <v>0</v>
      </c>
      <c r="K134" s="151">
        <f>$I132*$K132*VLOOKUP($C134,Data!$Q$9:$BO$17,Data!W$8,FALSE)</f>
        <v>0</v>
      </c>
      <c r="L134" s="151">
        <f>$I132*$K132*VLOOKUP($C134,Data!$Q$9:$BO$17,Data!X$8,FALSE)</f>
        <v>0</v>
      </c>
      <c r="M134" s="151">
        <f>$I132*$K132*VLOOKUP($C134,Data!$Q$9:$BO$17,Data!Y$8,FALSE)</f>
        <v>0</v>
      </c>
      <c r="N134" s="151">
        <f>$I132*$K132*VLOOKUP($C134,Data!$Q$9:$BO$17,Data!Z$8,FALSE)</f>
        <v>0</v>
      </c>
      <c r="O134" s="151">
        <f>$I132*$K132*VLOOKUP($C134,Data!$Q$9:$BO$17,Data!AA$8,FALSE)</f>
        <v>0</v>
      </c>
      <c r="P134" s="151">
        <f>$I132*$K132*VLOOKUP($C134,Data!$Q$9:$BO$17,Data!AB$8,FALSE)</f>
        <v>0</v>
      </c>
      <c r="Q134" s="151">
        <f>$I132*$K132*VLOOKUP($C134,Data!$Q$9:$BO$17,Data!AC$8,FALSE)</f>
        <v>0</v>
      </c>
      <c r="R134" s="151">
        <f>$I132*$K132*VLOOKUP($C134,Data!$Q$9:$BO$17,Data!AD$8,FALSE)</f>
        <v>1</v>
      </c>
      <c r="S134" s="151">
        <f>$I132*$K132*VLOOKUP($C134,Data!$Q$9:$BO$17,Data!AE$8,FALSE)</f>
        <v>1</v>
      </c>
      <c r="T134" s="151">
        <f>$I132*$K132*VLOOKUP($C134,Data!$Q$9:$BO$17,Data!AF$8,FALSE)</f>
        <v>1</v>
      </c>
      <c r="U134" s="151">
        <f>$I132*$K132*VLOOKUP($C134,Data!$Q$9:$BO$17,Data!AG$8,FALSE)</f>
        <v>1</v>
      </c>
      <c r="V134" s="151">
        <f>$I132*$K132*VLOOKUP($C134,Data!$Q$9:$BO$17,Data!AH$8,FALSE)</f>
        <v>1</v>
      </c>
      <c r="W134" s="151">
        <f>$I132*$K132*VLOOKUP($C134,Data!$Q$9:$BO$17,Data!AI$8,FALSE)</f>
        <v>1</v>
      </c>
      <c r="X134" s="151">
        <f>$I132*$K132*VLOOKUP($C134,Data!$Q$9:$BO$17,Data!AJ$8,FALSE)</f>
        <v>1</v>
      </c>
      <c r="Y134" s="151">
        <f>$I132*$K132*VLOOKUP($C134,Data!$Q$9:$BO$17,Data!AK$8,FALSE)</f>
        <v>1</v>
      </c>
      <c r="Z134" s="151">
        <f>$I132*$K132*VLOOKUP($C134,Data!$Q$9:$BO$17,Data!AL$8,FALSE)</f>
        <v>0</v>
      </c>
      <c r="AA134" s="151">
        <f>$I132*$K132*VLOOKUP($C134,Data!$Q$9:$BO$17,Data!AM$8,FALSE)</f>
        <v>0</v>
      </c>
      <c r="AB134" s="151">
        <f>$I132*$K132*VLOOKUP($C134,Data!$Q$9:$BO$17,Data!AN$8,FALSE)</f>
        <v>0</v>
      </c>
      <c r="AC134" s="151">
        <f>$I132*$K132*VLOOKUP($C134,Data!$Q$9:$BO$17,Data!AO$8,FALSE)</f>
        <v>0</v>
      </c>
      <c r="AD134" s="151">
        <f>$I132*$K132*VLOOKUP($C134,Data!$Q$9:$BO$17,Data!AP$8,FALSE)</f>
        <v>0</v>
      </c>
      <c r="AE134" s="151">
        <f>$I132*$K132*VLOOKUP($C134,Data!$Q$9:$BO$17,Data!AQ$8,FALSE)</f>
        <v>0</v>
      </c>
      <c r="AF134" s="189"/>
      <c r="AI134" s="68"/>
    </row>
    <row r="135" spans="2:39" ht="15.75" hidden="1" outlineLevel="1" x14ac:dyDescent="0.25">
      <c r="B135" s="187"/>
      <c r="C135" s="126" t="s">
        <v>200</v>
      </c>
      <c r="D135" s="6"/>
      <c r="E135" s="6"/>
      <c r="F135" s="6"/>
      <c r="G135" s="6"/>
      <c r="H135" s="133" t="str">
        <f>IF(VLOOKUP($F$3,Data!$A$33:$BY$78,Data!$BX$32,FALSE)=1,VLOOKUP($F$3,Data!$A$33:$BM$78,Data!R$32,FALSE),VLOOKUP($F$3,Data!$A$33:$BM$78,Data!AP$32,FALSE))</f>
        <v>m</v>
      </c>
      <c r="I135" s="133" t="str">
        <f>IF(VLOOKUP($F$3,Data!$A$33:$BY$78,Data!$BX$32,FALSE)=1,VLOOKUP($F$3,Data!$A$33:$BM$78,Data!S$32,FALSE),VLOOKUP($F$3,Data!$A$33:$BM$78,Data!AQ$32,FALSE))</f>
        <v>m</v>
      </c>
      <c r="J135" s="133" t="str">
        <f>IF(VLOOKUP($F$3,Data!$A$33:$BY$78,Data!$BX$32,FALSE)=1,VLOOKUP($F$3,Data!$A$33:$BM$78,Data!T$32,FALSE),VLOOKUP($F$3,Data!$A$33:$BM$78,Data!AR$32,FALSE))</f>
        <v>m</v>
      </c>
      <c r="K135" s="133" t="str">
        <f>IF(VLOOKUP($F$3,Data!$A$33:$BY$78,Data!$BX$32,FALSE)=1,VLOOKUP($F$3,Data!$A$33:$BM$78,Data!U$32,FALSE),VLOOKUP($F$3,Data!$A$33:$BM$78,Data!AS$32,FALSE))</f>
        <v>m</v>
      </c>
      <c r="L135" s="133" t="str">
        <f>IF(VLOOKUP($F$3,Data!$A$33:$BY$78,Data!$BX$32,FALSE)=1,VLOOKUP($F$3,Data!$A$33:$BM$78,Data!V$32,FALSE),VLOOKUP($F$3,Data!$A$33:$BM$78,Data!AT$32,FALSE))</f>
        <v>m</v>
      </c>
      <c r="M135" s="133" t="str">
        <f>IF(VLOOKUP($F$3,Data!$A$33:$BY$78,Data!$BX$32,FALSE)=1,VLOOKUP($F$3,Data!$A$33:$BM$78,Data!W$32,FALSE),VLOOKUP($F$3,Data!$A$33:$BM$78,Data!AU$32,FALSE))</f>
        <v>m</v>
      </c>
      <c r="N135" s="133" t="str">
        <f>IF(VLOOKUP($F$3,Data!$A$33:$BY$78,Data!$BX$32,FALSE)=1,VLOOKUP($F$3,Data!$A$33:$BM$78,Data!X$32,FALSE),VLOOKUP($F$3,Data!$A$33:$BM$78,Data!AV$32,FALSE))</f>
        <v>m</v>
      </c>
      <c r="O135" s="133" t="str">
        <f>IF(VLOOKUP($F$3,Data!$A$33:$BY$78,Data!$BX$32,FALSE)=1,VLOOKUP($F$3,Data!$A$33:$BM$78,Data!Y$32,FALSE),VLOOKUP($F$3,Data!$A$33:$BM$78,Data!AW$32,FALSE))</f>
        <v>m</v>
      </c>
      <c r="P135" s="133" t="str">
        <f>IF(VLOOKUP($F$3,Data!$A$33:$BY$78,Data!$BX$32,FALSE)=1,VLOOKUP($F$3,Data!$A$33:$BM$78,Data!Z$32,FALSE),VLOOKUP($F$3,Data!$A$33:$BM$78,Data!AX$32,FALSE))</f>
        <v>m</v>
      </c>
      <c r="Q135" s="133" t="str">
        <f>IF(VLOOKUP($F$3,Data!$A$33:$BY$78,Data!$BX$32,FALSE)=1,VLOOKUP($F$3,Data!$A$33:$BM$78,Data!AA$32,FALSE),VLOOKUP($F$3,Data!$A$33:$BM$78,Data!AY$32,FALSE))</f>
        <v>m</v>
      </c>
      <c r="R135" s="133" t="str">
        <f>IF(VLOOKUP($F$3,Data!$A$33:$BY$78,Data!$BX$32,FALSE)=1,VLOOKUP($F$3,Data!$A$33:$BM$78,Data!AB$32,FALSE),VLOOKUP($F$3,Data!$A$33:$BM$78,Data!AZ$32,FALSE))</f>
        <v>o</v>
      </c>
      <c r="S135" s="133" t="str">
        <f>IF(VLOOKUP($F$3,Data!$A$33:$BY$78,Data!$BX$32,FALSE)=1,VLOOKUP($F$3,Data!$A$33:$BM$78,Data!AC$32,FALSE),VLOOKUP($F$3,Data!$A$33:$BM$78,Data!BA$32,FALSE))</f>
        <v>o</v>
      </c>
      <c r="T135" s="133" t="str">
        <f>IF(VLOOKUP($F$3,Data!$A$33:$BY$78,Data!$BX$32,FALSE)=1,VLOOKUP($F$3,Data!$A$33:$BM$78,Data!AD$32,FALSE),VLOOKUP($F$3,Data!$A$33:$BM$78,Data!BB$32,FALSE))</f>
        <v>o</v>
      </c>
      <c r="U135" s="133" t="str">
        <f>IF(VLOOKUP($F$3,Data!$A$33:$BY$78,Data!$BX$32,FALSE)=1,VLOOKUP($F$3,Data!$A$33:$BM$78,Data!AE$32,FALSE),VLOOKUP($F$3,Data!$A$33:$BM$78,Data!BC$32,FALSE))</f>
        <v>o</v>
      </c>
      <c r="V135" s="133" t="str">
        <f>IF(VLOOKUP($F$3,Data!$A$33:$BY$78,Data!$BX$32,FALSE)=1,VLOOKUP($F$3,Data!$A$33:$BM$78,Data!AF$32,FALSE),VLOOKUP($F$3,Data!$A$33:$BM$78,Data!BD$32,FALSE))</f>
        <v>o</v>
      </c>
      <c r="W135" s="133" t="str">
        <f>IF(VLOOKUP($F$3,Data!$A$33:$BY$78,Data!$BX$32,FALSE)=1,VLOOKUP($F$3,Data!$A$33:$BM$78,Data!AG$32,FALSE),VLOOKUP($F$3,Data!$A$33:$BM$78,Data!BE$32,FALSE))</f>
        <v>o</v>
      </c>
      <c r="X135" s="133" t="str">
        <f>IF(VLOOKUP($F$3,Data!$A$33:$BY$78,Data!$BX$32,FALSE)=1,VLOOKUP($F$3,Data!$A$33:$BM$78,Data!AH$32,FALSE),VLOOKUP($F$3,Data!$A$33:$BM$78,Data!BF$32,FALSE))</f>
        <v>o</v>
      </c>
      <c r="Y135" s="133" t="str">
        <f>IF(VLOOKUP($F$3,Data!$A$33:$BY$78,Data!$BX$32,FALSE)=1,VLOOKUP($F$3,Data!$A$33:$BM$78,Data!AI$32,FALSE),VLOOKUP($F$3,Data!$A$33:$BM$78,Data!BG$32,FALSE))</f>
        <v>o</v>
      </c>
      <c r="Z135" s="133" t="str">
        <f>IF(VLOOKUP($F$3,Data!$A$33:$BY$78,Data!$BX$32,FALSE)=1,VLOOKUP($F$3,Data!$A$33:$BM$78,Data!AJ$32,FALSE),VLOOKUP($F$3,Data!$A$33:$BM$78,Data!BH$32,FALSE))</f>
        <v>o</v>
      </c>
      <c r="AA135" s="133" t="str">
        <f>IF(VLOOKUP($F$3,Data!$A$33:$BY$78,Data!$BX$32,FALSE)=1,VLOOKUP($F$3,Data!$A$33:$BM$78,Data!AK$32,FALSE),VLOOKUP($F$3,Data!$A$33:$BM$78,Data!BI$32,FALSE))</f>
        <v>o</v>
      </c>
      <c r="AB135" s="133" t="str">
        <f>IF(VLOOKUP($F$3,Data!$A$33:$BY$78,Data!$BX$32,FALSE)=1,VLOOKUP($F$3,Data!$A$33:$BM$78,Data!AL$32,FALSE),VLOOKUP($F$3,Data!$A$33:$BM$78,Data!BJ$32,FALSE))</f>
        <v>o</v>
      </c>
      <c r="AC135" s="133" t="str">
        <f>IF(VLOOKUP($F$3,Data!$A$33:$BY$78,Data!$BX$32,FALSE)=1,VLOOKUP($F$3,Data!$A$33:$BM$78,Data!AM$32,FALSE),VLOOKUP($F$3,Data!$A$33:$BM$78,Data!BK$32,FALSE))</f>
        <v>o</v>
      </c>
      <c r="AD135" s="133" t="str">
        <f>IF(VLOOKUP($F$3,Data!$A$33:$BY$78,Data!$BX$32,FALSE)=1,VLOOKUP($F$3,Data!$A$33:$BM$78,Data!AN$32,FALSE),VLOOKUP($F$3,Data!$A$33:$BM$78,Data!BL$32,FALSE))</f>
        <v>o</v>
      </c>
      <c r="AE135" s="133" t="str">
        <f>IF(VLOOKUP($F$3,Data!$A$33:$BY$78,Data!$BX$32,FALSE)=1,VLOOKUP($F$3,Data!$A$33:$BM$78,Data!AO$32,FALSE),VLOOKUP($F$3,Data!$A$33:$BM$78,Data!BM$32,FALSE))</f>
        <v>o</v>
      </c>
      <c r="AF135" s="189"/>
      <c r="AI135" s="23"/>
      <c r="AJ135" s="23"/>
      <c r="AK135" s="102"/>
    </row>
    <row r="136" spans="2:39" ht="15.75" hidden="1" outlineLevel="1" x14ac:dyDescent="0.25">
      <c r="B136" s="187"/>
      <c r="C136" s="126"/>
      <c r="D136" s="6"/>
      <c r="E136" s="6"/>
      <c r="F136" s="6"/>
      <c r="G136" s="6"/>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89"/>
      <c r="AI136" s="23"/>
      <c r="AJ136" s="23"/>
      <c r="AK136" s="102"/>
    </row>
    <row r="137" spans="2:39" ht="16.5" hidden="1" outlineLevel="1" thickBot="1" x14ac:dyDescent="0.3">
      <c r="B137" s="187"/>
      <c r="C137" s="73" t="s">
        <v>201</v>
      </c>
      <c r="D137" s="73"/>
      <c r="E137" s="73"/>
      <c r="F137" s="73"/>
      <c r="G137" s="259" t="str">
        <f>IF($W$12="Tier","Tier 1","On-Peak")</f>
        <v>On-Peak</v>
      </c>
      <c r="H137" s="259"/>
      <c r="I137" s="259" t="str">
        <f>IF($W$12="Tier","Tier 2","Mid-Peak")</f>
        <v>Mid-Peak</v>
      </c>
      <c r="J137" s="259"/>
      <c r="K137" s="259" t="str">
        <f>IF($W$12="Tier","Tier 3","Off-Peak")</f>
        <v>Off-Peak</v>
      </c>
      <c r="L137" s="259"/>
      <c r="M137" s="259" t="s">
        <v>12</v>
      </c>
      <c r="N137" s="259"/>
      <c r="O137" s="6"/>
      <c r="P137" s="6"/>
      <c r="Q137" s="243" t="str">
        <f>IF($W12="Subscription","November Subscription","November Demand")</f>
        <v>November Demand</v>
      </c>
      <c r="R137" s="243"/>
      <c r="S137" s="236"/>
      <c r="T137" s="259" t="str">
        <f>IF(ISNUMBER(FIND("SDG&amp;E AL-TOU2",$F$3)),"TOU Demand","")</f>
        <v/>
      </c>
      <c r="U137" s="259"/>
      <c r="V137" s="259" t="str">
        <f>IF($W132="Subscription","Subscription","Maximum")</f>
        <v>Maximum</v>
      </c>
      <c r="W137" s="259"/>
      <c r="X137" s="259" t="s">
        <v>60</v>
      </c>
      <c r="Y137" s="259"/>
      <c r="Z137" s="259" t="s">
        <v>61</v>
      </c>
      <c r="AA137" s="259"/>
      <c r="AB137" s="259" t="s">
        <v>55</v>
      </c>
      <c r="AC137" s="259"/>
      <c r="AD137" s="259" t="s">
        <v>12</v>
      </c>
      <c r="AE137" s="259"/>
      <c r="AF137" s="189"/>
    </row>
    <row r="138" spans="2:39" ht="15" hidden="1" customHeight="1" outlineLevel="1" x14ac:dyDescent="0.25">
      <c r="B138" s="187"/>
      <c r="C138" s="6" t="s">
        <v>103</v>
      </c>
      <c r="D138" s="6"/>
      <c r="E138" s="6"/>
      <c r="F138" s="6"/>
      <c r="G138" s="260">
        <f>SUMIF($H135:$AE135,"p",$H134:$AE134)/SUM($H134:$AE134)</f>
        <v>0</v>
      </c>
      <c r="H138" s="260"/>
      <c r="I138" s="260">
        <f>SUMIF($H135:$AE135,"m",$H134:$AE134)/SUM($H134:$AE134)</f>
        <v>0</v>
      </c>
      <c r="J138" s="260"/>
      <c r="K138" s="284">
        <f>SUMIF($H135:$AE135,"o",$H134:$AE134)/SUM($H134:$AE134)</f>
        <v>1</v>
      </c>
      <c r="L138" s="284"/>
      <c r="M138" s="6"/>
      <c r="N138" s="6"/>
      <c r="O138" s="6"/>
      <c r="P138" s="6"/>
      <c r="Q138" s="6" t="s">
        <v>104</v>
      </c>
      <c r="R138" s="6"/>
      <c r="S138" s="6"/>
      <c r="T138" s="291" t="str">
        <f>IF(ISNUMBER(FIND("SDG&amp;E AL-TOU2",$F$3)),MAX($X138:$AA138),"")</f>
        <v/>
      </c>
      <c r="U138" s="291"/>
      <c r="V138" s="260">
        <f>IF($W132="Subscription","",MAX($X138:$AC138))</f>
        <v>1</v>
      </c>
      <c r="W138" s="260"/>
      <c r="X138" s="284">
        <f t="array" ref="X138">MAX(IF($H135:$AE135="p",$H134:$AE134))</f>
        <v>0</v>
      </c>
      <c r="Y138" s="284"/>
      <c r="Z138" s="284">
        <f t="array" ref="Z138">MAX(IF($H135:$AE135="m",$H134:$AE134))</f>
        <v>0</v>
      </c>
      <c r="AA138" s="284"/>
      <c r="AB138" s="284">
        <f t="array" ref="AB138">MAX(IF($H135:$AE135="o",$H134:$AE134))</f>
        <v>1</v>
      </c>
      <c r="AC138" s="284"/>
      <c r="AD138" s="6"/>
      <c r="AE138" s="6"/>
      <c r="AF138" s="189"/>
    </row>
    <row r="139" spans="2:39" ht="15.75" hidden="1" outlineLevel="1" x14ac:dyDescent="0.25">
      <c r="B139" s="187"/>
      <c r="C139" s="6" t="s">
        <v>101</v>
      </c>
      <c r="D139" s="6"/>
      <c r="E139" s="6"/>
      <c r="F139" s="6"/>
      <c r="G139" s="265">
        <f>IF( $W$12="Tier",IF(OR(VLOOKUP($F$3,Data!$A$33:$CN$78,Data!CM$32,FALSE)&gt;$M139,VLOOKUP($F$3,Data!$A$33:$CN$78,Data!CM$32,FALSE)=0),$M139,VLOOKUP($F$3,Data!$A$33:$CN$78,Data!CM$32,FALSE)),$M139*$G138)</f>
        <v>0</v>
      </c>
      <c r="H139" s="265"/>
      <c r="I139" s="265">
        <f>IF(
 $W$12="Tier",
 IF(
  OR($M139&lt;VLOOKUP($F$3,Data!$A$33:$CN$78,Data!CM$32,FALSE),VLOOKUP($F$3,Data!$A$33:$CN$78,Data!CM$32,FALSE)=0),
  0,
   IF(
    OR($M139&gt;VLOOKUP($F$3,Data!$A$33:$CN$78,Data!CM$32,FALSE),VLOOKUP($F$3,Data!$A$33:$CN$78,Data!CN$32,FALSE)=0),
    $M139-VLOOKUP($F$3,Data!$A$33:$CN$78,Data!CM$32,FALSE),
    VLOOKUP($F$3,Data!$A$33:$CN$78,Data!CN$32,FALSE)-VLOOKUP($F$3,Data!$A$33:$CN$78,Data!CM$32,FALSE)
   )
 ),
 $M139*$I138)</f>
        <v>0</v>
      </c>
      <c r="J139" s="265"/>
      <c r="K139" s="265">
        <f>IF($W$12="Tier",M139-SUM(G139:J139),$M139*K138)</f>
        <v>72000</v>
      </c>
      <c r="L139" s="265"/>
      <c r="M139" s="261">
        <f>+$O$131*F131*$F$6*30/$F$7</f>
        <v>72000</v>
      </c>
      <c r="N139" s="261"/>
      <c r="O139" s="6"/>
      <c r="P139" s="6"/>
      <c r="Q139" s="6" t="s">
        <v>107</v>
      </c>
      <c r="R139" s="6"/>
      <c r="S139" s="6"/>
      <c r="T139" s="262" t="str">
        <f>IF(ISNUMBER(FIND("SDG&amp;E AL-TOU2",$F$3)),ROUND(MAX($X139:$AA139),0),"")</f>
        <v/>
      </c>
      <c r="U139" s="262"/>
      <c r="V139" s="261">
        <f>IF($W132="Subscription",$F$9,ROUND(MAX($X139:$AC139),0))</f>
        <v>380</v>
      </c>
      <c r="W139" s="262"/>
      <c r="X139" s="265">
        <f>VLOOKUP($F$5,Data!$A$9:$C$21,Data!$B$8,FALSE)*$O132*$X138</f>
        <v>0</v>
      </c>
      <c r="Y139" s="265"/>
      <c r="Z139" s="265">
        <f>VLOOKUP($F$5,Data!$A$9:$C$21,Data!$B$8,FALSE)*$O132*$Z138</f>
        <v>0</v>
      </c>
      <c r="AA139" s="265"/>
      <c r="AB139" s="265">
        <f>VLOOKUP($F$5,Data!$A$9:$C$21,Data!$B$8,FALSE)*$O132*$AB138</f>
        <v>380</v>
      </c>
      <c r="AC139" s="265"/>
      <c r="AD139" s="261"/>
      <c r="AE139" s="261"/>
      <c r="AF139" s="189"/>
    </row>
    <row r="140" spans="2:39" ht="16.5" hidden="1" outlineLevel="1" thickBot="1" x14ac:dyDescent="0.3">
      <c r="B140" s="187"/>
      <c r="C140" s="56" t="s">
        <v>100</v>
      </c>
      <c r="D140" s="56"/>
      <c r="E140" s="56"/>
      <c r="F140" s="56"/>
      <c r="G140" s="263">
        <f>IF($W$12="Tier",IF(VLOOKUP($F$3,Data!$A$33:$CN$78,Data!BX$32,FALSE)=1,VLOOKUP($F$3,Data!$A$33:$CN$78,Data!CE$32,FALSE),VLOOKUP($F$3,Data!$A$33:$CN$78,Data!CJ$32,FALSE)),IF(VLOOKUP($F$3,Data!$A$33:$CN$78,Data!BX$32,FALSE)=1,VLOOKUP($F$3,Data!$A$33:$CN$78,Data!$K$32,FALSE),VLOOKUP($F$3,Data!$A$33:$CN$78,Data!$N$32,FALSE)))</f>
        <v>0.10590000000000001</v>
      </c>
      <c r="H140" s="263"/>
      <c r="I140" s="263">
        <f>IF($W$12="Tier",IF(VLOOKUP($F$3,Data!$A$33:$CN$78,Data!BX$32,FALSE) = 1,VLOOKUP($F$3,Data!$A$33:$CN$78,Data!CF$32,FALSE),VLOOKUP($F$3,Data!$A$33:$CN$78,Data!CK$32,FALSE)),IF(VLOOKUP($F$3,Data!$A$33:$CN$78,Data!BX$32,FALSE) = 1,VLOOKUP($F$3,Data!$A$33:$CN$78,Data!$L$32,FALSE),VLOOKUP($F$3,Data!$A$33:$CN$78,Data!$O$32,FALSE)))</f>
        <v>0</v>
      </c>
      <c r="J140" s="263"/>
      <c r="K140" s="263">
        <f>IF($W$12="Tier",IF(VLOOKUP($F$3,Data!$A$33:$CN$78,Data!BX$32,FALSE) = 1,VLOOKUP($F$3,Data!$A$33:$CN$78,Data!CG$32,FALSE),VLOOKUP($F$3,Data!$A$33:$CN$78,Data!CL$32,FALSE)),IF(VLOOKUP($F$3,Data!$A$33:$CN$78,Data!BX$32,FALSE) = 1,VLOOKUP($F$3,Data!$A$33:$CN$78,Data!$M$32,FALSE),VLOOKUP($F$3,Data!$A$33:$CN$78,Data!$P$32,FALSE)))</f>
        <v>8.4400000000000003E-2</v>
      </c>
      <c r="L140" s="263"/>
      <c r="M140" s="266"/>
      <c r="N140" s="266"/>
      <c r="O140" s="6"/>
      <c r="P140" s="6"/>
      <c r="Q140" s="56" t="str">
        <f>IF($W132="Subscription","Subscription Rate ($/kW)","Demand Rate ($/kW)")</f>
        <v>Demand Rate ($/kW)</v>
      </c>
      <c r="R140" s="56"/>
      <c r="S140" s="56"/>
      <c r="T140" s="263" t="str">
        <f>IF(ISNUMBER(FIND("SDG&amp;E AL-TOU2",$F$3)),19.7,"")</f>
        <v/>
      </c>
      <c r="U140" s="263"/>
      <c r="V140" s="263">
        <f>IF(VLOOKUP($F$3,Data!$A$33:$CN$78,Data!BX$32,FALSE) = 1,VLOOKUP($F$3,Data!$A$33:$CN$78,Data!$C$32,FALSE),VLOOKUP($F$3,Data!$A$33:$CN$78,Data!$G$32,FALSE))</f>
        <v>3.8</v>
      </c>
      <c r="W140" s="263"/>
      <c r="X140" s="263">
        <f>IF(VLOOKUP($F$3,Data!$A$33:$CN$78,Data!BX$32,FALSE) = 1,VLOOKUP($F$3,Data!$A$33:$CN$78,Data!$D$32,FALSE),VLOOKUP($F$3,Data!$A$33:$CN$78,Data!$H$32,FALSE))</f>
        <v>0</v>
      </c>
      <c r="Y140" s="263"/>
      <c r="Z140" s="263">
        <f>IF(VLOOKUP($F$3,Data!$A$33:$CN$78,Data!BX$32,FALSE) = 1,VLOOKUP($F$3,Data!$A$33:$CN$78,Data!$E$32,FALSE),VLOOKUP($F$3,Data!$A$33:$CN$78,Data!$I$32,FALSE))</f>
        <v>0</v>
      </c>
      <c r="AA140" s="263"/>
      <c r="AB140" s="263">
        <f>IF(VLOOKUP($F$3,Data!$A$33:$CN$78,Data!BX$32,FALSE) = 1,VLOOKUP($F$3,Data!$A$33:$CN$78,Data!$F$32,FALSE),VLOOKUP($F$3,Data!$A$33:$CN$78,Data!$J$32,FALSE))</f>
        <v>0</v>
      </c>
      <c r="AC140" s="263"/>
      <c r="AD140" s="56"/>
      <c r="AE140" s="56"/>
      <c r="AF140" s="189"/>
    </row>
    <row r="141" spans="2:39" ht="15.75" hidden="1" outlineLevel="1" x14ac:dyDescent="0.25">
      <c r="B141" s="187"/>
      <c r="C141" s="92" t="s">
        <v>102</v>
      </c>
      <c r="D141" s="76"/>
      <c r="E141" s="76"/>
      <c r="F141" s="76"/>
      <c r="G141" s="270">
        <f>+G139*G140</f>
        <v>0</v>
      </c>
      <c r="H141" s="270"/>
      <c r="I141" s="269">
        <f>+I139*I140</f>
        <v>0</v>
      </c>
      <c r="J141" s="269"/>
      <c r="K141" s="270">
        <f>+K139*K140</f>
        <v>6076.8</v>
      </c>
      <c r="L141" s="270"/>
      <c r="M141" s="270">
        <f>SUM(G141:L141)</f>
        <v>6076.8</v>
      </c>
      <c r="N141" s="270"/>
      <c r="O141" s="6"/>
      <c r="P141" s="6"/>
      <c r="Q141" s="6" t="str">
        <f>IF($W132="Subscription","Subscription Fee","Demand Charge")</f>
        <v>Demand Charge</v>
      </c>
      <c r="R141" s="72"/>
      <c r="S141" s="72"/>
      <c r="T141" s="287" t="str">
        <f>IF(ISNUMBER(FIND("SDG&amp;E AL-TOU2",$F$3)),$T139*$T140,"")</f>
        <v/>
      </c>
      <c r="U141" s="287"/>
      <c r="V141" s="293">
        <f>+V139*V140</f>
        <v>1444</v>
      </c>
      <c r="W141" s="293"/>
      <c r="X141" s="293">
        <f>+X139*X140</f>
        <v>0</v>
      </c>
      <c r="Y141" s="293"/>
      <c r="Z141" s="293">
        <f>+Z139*Z140</f>
        <v>0</v>
      </c>
      <c r="AA141" s="293"/>
      <c r="AB141" s="293">
        <f>+AB139*AB140</f>
        <v>0</v>
      </c>
      <c r="AC141" s="293"/>
      <c r="AD141" s="293">
        <f>SUM(T141:AC141)</f>
        <v>1444</v>
      </c>
      <c r="AE141" s="293"/>
      <c r="AF141" s="189"/>
    </row>
    <row r="142" spans="2:39" ht="15.75" hidden="1" outlineLevel="1" x14ac:dyDescent="0.25">
      <c r="B142" s="190"/>
      <c r="C142" s="174"/>
      <c r="D142" s="175"/>
      <c r="E142" s="175"/>
      <c r="F142" s="175"/>
      <c r="G142" s="176"/>
      <c r="H142" s="176"/>
      <c r="I142" s="176"/>
      <c r="J142" s="176"/>
      <c r="K142" s="176"/>
      <c r="L142" s="176"/>
      <c r="M142" s="176"/>
      <c r="N142" s="176"/>
      <c r="O142" s="177"/>
      <c r="P142" s="177"/>
      <c r="Q142" s="177"/>
      <c r="R142" s="177"/>
      <c r="S142" s="177"/>
      <c r="T142" s="177"/>
      <c r="U142" s="177"/>
      <c r="V142" s="178"/>
      <c r="W142" s="178"/>
      <c r="X142" s="178"/>
      <c r="Y142" s="178"/>
      <c r="Z142" s="178"/>
      <c r="AA142" s="178"/>
      <c r="AB142" s="178"/>
      <c r="AC142" s="178"/>
      <c r="AD142" s="178"/>
      <c r="AE142" s="178"/>
      <c r="AF142" s="191"/>
    </row>
    <row r="143" spans="2:39" ht="15.75" collapsed="1" x14ac:dyDescent="0.25">
      <c r="B143" s="192" t="s">
        <v>202</v>
      </c>
      <c r="C143" s="6"/>
      <c r="D143" s="6"/>
      <c r="E143" s="165" t="s">
        <v>172</v>
      </c>
      <c r="F143" s="167">
        <v>150</v>
      </c>
      <c r="G143" s="169" t="s">
        <v>173</v>
      </c>
      <c r="H143" s="6"/>
      <c r="I143" s="165" t="s">
        <v>222</v>
      </c>
      <c r="J143" s="294" t="s">
        <v>367</v>
      </c>
      <c r="K143" s="294"/>
      <c r="L143" s="294"/>
      <c r="M143" s="6"/>
      <c r="N143" s="165" t="s">
        <v>205</v>
      </c>
      <c r="O143" s="170">
        <v>0.8</v>
      </c>
      <c r="P143" s="168" t="s">
        <v>206</v>
      </c>
      <c r="Q143" s="6"/>
      <c r="R143" s="76"/>
      <c r="S143" s="72"/>
      <c r="T143" s="72"/>
      <c r="U143" s="72"/>
      <c r="V143" s="171" t="str">
        <f>+"December Monthly Bill (with taxes/fees) = "</f>
        <v xml:space="preserve">December Monthly Bill (with taxes/fees) = </v>
      </c>
      <c r="W143" s="172">
        <f>(AD153+M153+VLOOKUP($F$3,Data!$A$33:$CA$78,2))*(1+$F$8)</f>
        <v>8784.8871666666691</v>
      </c>
      <c r="X143" s="72"/>
      <c r="Y143" s="68"/>
      <c r="Z143" s="223"/>
      <c r="AA143" s="239"/>
      <c r="AB143" s="239" t="str">
        <f>"Cost = $"&amp;FIXED(W143/M151,2) &amp; "/kWh"</f>
        <v>Cost = $0.11/kWh</v>
      </c>
      <c r="AC143" s="222" t="s">
        <v>344</v>
      </c>
      <c r="AD143" s="173" t="str">
        <f>"$"&amp; FIXED(W143*O143/M151,2)&amp;"/mi."</f>
        <v>$0.09/mi.</v>
      </c>
      <c r="AE143" s="72"/>
      <c r="AF143" s="189"/>
      <c r="AH143" s="88"/>
      <c r="AI143" s="23"/>
      <c r="AK143" s="102"/>
      <c r="AL143" s="23"/>
    </row>
    <row r="144" spans="2:39" s="138" customFormat="1" hidden="1" outlineLevel="1" x14ac:dyDescent="0.2">
      <c r="B144" s="186" t="s">
        <v>122</v>
      </c>
      <c r="C144" s="240">
        <f>ROUND(2*$E144/$G144,1)/2</f>
        <v>0.9</v>
      </c>
      <c r="D144" s="156" t="s">
        <v>120</v>
      </c>
      <c r="E144" s="245">
        <f>+$O143*$F143*$M144/($F$7*$Q144)</f>
        <v>7.0175438596491224</v>
      </c>
      <c r="F144" s="156" t="s">
        <v>119</v>
      </c>
      <c r="G144" s="246">
        <f>+VLOOKUP($J143,Data!$Q$9:$BQ$17,Data!$BP$8,FALSE)</f>
        <v>8</v>
      </c>
      <c r="H144" s="143" t="s">
        <v>116</v>
      </c>
      <c r="I144" s="155">
        <f>IF(VLOOKUP($F$4,Data!$G$9:$L$16,Data!$L$8,FALSE)&lt;1,VLOOKUP($F$4,Data!$G$9:$L$16,Data!$L$8,FALSE),1)</f>
        <v>1</v>
      </c>
      <c r="J144" s="143" t="s">
        <v>117</v>
      </c>
      <c r="K144" s="240">
        <f>IF(VLOOKUP($F$4,Data!$G$9:$L$16,Data!$L$8,FALSE)="software",IF($C144&gt;0.75,1,$C144+0.1),1)</f>
        <v>1</v>
      </c>
      <c r="L144" s="143" t="s">
        <v>109</v>
      </c>
      <c r="M144" s="246">
        <f>+VLOOKUP($F$4,Data!$G$9:$L$16,Data!$I$8)</f>
        <v>1</v>
      </c>
      <c r="N144" s="143" t="s">
        <v>108</v>
      </c>
      <c r="O144" s="247">
        <f>INT($F$6/$M144)+IF(($F$6/$M144-INT($F$6/$M144))&gt;0,1,0)</f>
        <v>20</v>
      </c>
      <c r="P144" s="143" t="s">
        <v>121</v>
      </c>
      <c r="Q144" s="143">
        <f>VLOOKUP($F$5,Data!$A$9:$C$19,Data!$B$8,FALSE)</f>
        <v>19</v>
      </c>
      <c r="R144" s="144" t="s">
        <v>25</v>
      </c>
      <c r="S144" s="247">
        <f>VLOOKUP($F$3,Data!$A$33:$CN$78,Data!$CB$32,FALSE)</f>
        <v>300</v>
      </c>
      <c r="T144" s="144" t="s">
        <v>26</v>
      </c>
      <c r="U144" s="247">
        <f>IF(VLOOKUP($F$3,Data!$A$33:$CN$78,Data!$CC$32)="N/A",10000000,VLOOKUP($F$3,Data!$A$33:$CN$78,Data!$CC$32,FALSE))</f>
        <v>500</v>
      </c>
      <c r="V144" s="144" t="s">
        <v>40</v>
      </c>
      <c r="W144" s="158" t="str">
        <f>VLOOKUP($F$3,Data!$A$33:$CN$78,Data!CD$32,FALSE)</f>
        <v>TOU</v>
      </c>
      <c r="X144" s="157" t="s">
        <v>144</v>
      </c>
      <c r="Y144" s="248">
        <f>VLOOKUP($F$3,Data!$A$33:$CN$78,Data!$BZ$32)</f>
        <v>3</v>
      </c>
      <c r="Z144" s="144"/>
      <c r="AA144" s="144"/>
      <c r="AB144" s="144"/>
      <c r="AC144" s="144"/>
      <c r="AD144" s="144"/>
      <c r="AE144" s="144"/>
      <c r="AF144" s="255"/>
      <c r="AG144" s="140"/>
      <c r="AH144" s="140"/>
      <c r="AI144" s="137"/>
      <c r="AK144" s="139"/>
      <c r="AL144" s="141"/>
      <c r="AM144" s="141"/>
    </row>
    <row r="145" spans="2:37" ht="15.75" hidden="1" outlineLevel="1" x14ac:dyDescent="0.25">
      <c r="B145" s="187"/>
      <c r="C145" s="130" t="s">
        <v>222</v>
      </c>
      <c r="D145" s="65"/>
      <c r="E145" s="65"/>
      <c r="F145" s="6"/>
      <c r="G145" s="6"/>
      <c r="H145" s="66" t="s">
        <v>74</v>
      </c>
      <c r="I145" s="66" t="s">
        <v>75</v>
      </c>
      <c r="J145" s="66" t="s">
        <v>76</v>
      </c>
      <c r="K145" s="66" t="s">
        <v>77</v>
      </c>
      <c r="L145" s="66" t="s">
        <v>78</v>
      </c>
      <c r="M145" s="66" t="s">
        <v>79</v>
      </c>
      <c r="N145" s="66" t="s">
        <v>80</v>
      </c>
      <c r="O145" s="66" t="s">
        <v>81</v>
      </c>
      <c r="P145" s="66" t="s">
        <v>82</v>
      </c>
      <c r="Q145" s="66" t="s">
        <v>83</v>
      </c>
      <c r="R145" s="66" t="s">
        <v>84</v>
      </c>
      <c r="S145" s="66" t="s">
        <v>85</v>
      </c>
      <c r="T145" s="66" t="s">
        <v>86</v>
      </c>
      <c r="U145" s="66" t="s">
        <v>87</v>
      </c>
      <c r="V145" s="66" t="s">
        <v>88</v>
      </c>
      <c r="W145" s="66" t="s">
        <v>89</v>
      </c>
      <c r="X145" s="66" t="s">
        <v>90</v>
      </c>
      <c r="Y145" s="66" t="s">
        <v>91</v>
      </c>
      <c r="Z145" s="66" t="s">
        <v>92</v>
      </c>
      <c r="AA145" s="66" t="s">
        <v>93</v>
      </c>
      <c r="AB145" s="66" t="s">
        <v>94</v>
      </c>
      <c r="AC145" s="66" t="s">
        <v>95</v>
      </c>
      <c r="AD145" s="66" t="s">
        <v>96</v>
      </c>
      <c r="AE145" s="66" t="s">
        <v>97</v>
      </c>
      <c r="AF145" s="188"/>
      <c r="AI145" s="23"/>
      <c r="AJ145" s="23"/>
      <c r="AK145" s="102"/>
    </row>
    <row r="146" spans="2:37" ht="15.75" hidden="1" outlineLevel="1" x14ac:dyDescent="0.25">
      <c r="B146" s="187"/>
      <c r="C146" s="295" t="str">
        <f>J143</f>
        <v>Late Evening (10p-6a)</v>
      </c>
      <c r="D146" s="296"/>
      <c r="E146" s="296"/>
      <c r="F146" s="296"/>
      <c r="G146" s="297"/>
      <c r="H146" s="151">
        <f>$I144*$K144*VLOOKUP($C146,Data!$Q$9:$BO$17,Data!T$8,FALSE)</f>
        <v>0</v>
      </c>
      <c r="I146" s="151">
        <f>$I144*$K144*VLOOKUP($C146,Data!$Q$9:$BO$17,Data!U$8,FALSE)</f>
        <v>0</v>
      </c>
      <c r="J146" s="151">
        <f>$I144*$K144*VLOOKUP($C146,Data!$Q$9:$BO$17,Data!V$8,FALSE)</f>
        <v>0</v>
      </c>
      <c r="K146" s="151">
        <f>$I144*$K144*VLOOKUP($C146,Data!$Q$9:$BO$17,Data!W$8,FALSE)</f>
        <v>0</v>
      </c>
      <c r="L146" s="151">
        <f>$I144*$K144*VLOOKUP($C146,Data!$Q$9:$BO$17,Data!X$8,FALSE)</f>
        <v>0</v>
      </c>
      <c r="M146" s="151">
        <f>$I144*$K144*VLOOKUP($C146,Data!$Q$9:$BO$17,Data!Y$8,FALSE)</f>
        <v>0</v>
      </c>
      <c r="N146" s="151">
        <f>$I144*$K144*VLOOKUP($C146,Data!$Q$9:$BO$17,Data!Z$8,FALSE)</f>
        <v>0</v>
      </c>
      <c r="O146" s="151">
        <f>$I144*$K144*VLOOKUP($C146,Data!$Q$9:$BO$17,Data!AA$8,FALSE)</f>
        <v>0</v>
      </c>
      <c r="P146" s="151">
        <f>$I144*$K144*VLOOKUP($C146,Data!$Q$9:$BO$17,Data!AB$8,FALSE)</f>
        <v>0</v>
      </c>
      <c r="Q146" s="151">
        <f>$I144*$K144*VLOOKUP($C146,Data!$Q$9:$BO$17,Data!AC$8,FALSE)</f>
        <v>0</v>
      </c>
      <c r="R146" s="151">
        <f>$I144*$K144*VLOOKUP($C146,Data!$Q$9:$BO$17,Data!AD$8,FALSE)</f>
        <v>1</v>
      </c>
      <c r="S146" s="151">
        <f>$I144*$K144*VLOOKUP($C146,Data!$Q$9:$BO$17,Data!AE$8,FALSE)</f>
        <v>1</v>
      </c>
      <c r="T146" s="151">
        <f>$I144*$K144*VLOOKUP($C146,Data!$Q$9:$BO$17,Data!AF$8,FALSE)</f>
        <v>1</v>
      </c>
      <c r="U146" s="151">
        <f>$I144*$K144*VLOOKUP($C146,Data!$Q$9:$BO$17,Data!AG$8,FALSE)</f>
        <v>1</v>
      </c>
      <c r="V146" s="151">
        <f>$I144*$K144*VLOOKUP($C146,Data!$Q$9:$BO$17,Data!AH$8,FALSE)</f>
        <v>1</v>
      </c>
      <c r="W146" s="151">
        <f>$I144*$K144*VLOOKUP($C146,Data!$Q$9:$BO$17,Data!AI$8,FALSE)</f>
        <v>1</v>
      </c>
      <c r="X146" s="151">
        <f>$I144*$K144*VLOOKUP($C146,Data!$Q$9:$BO$17,Data!AJ$8,FALSE)</f>
        <v>1</v>
      </c>
      <c r="Y146" s="151">
        <f>$I144*$K144*VLOOKUP($C146,Data!$Q$9:$BO$17,Data!AK$8,FALSE)</f>
        <v>1</v>
      </c>
      <c r="Z146" s="151">
        <f>$I144*$K144*VLOOKUP($C146,Data!$Q$9:$BO$17,Data!AL$8,FALSE)</f>
        <v>0</v>
      </c>
      <c r="AA146" s="151">
        <f>$I144*$K144*VLOOKUP($C146,Data!$Q$9:$BO$17,Data!AM$8,FALSE)</f>
        <v>0</v>
      </c>
      <c r="AB146" s="151">
        <f>$I144*$K144*VLOOKUP($C146,Data!$Q$9:$BO$17,Data!AN$8,FALSE)</f>
        <v>0</v>
      </c>
      <c r="AC146" s="151">
        <f>$I144*$K144*VLOOKUP($C146,Data!$Q$9:$BO$17,Data!AO$8,FALSE)</f>
        <v>0</v>
      </c>
      <c r="AD146" s="151">
        <f>$I144*$K144*VLOOKUP($C146,Data!$Q$9:$BO$17,Data!AP$8,FALSE)</f>
        <v>0</v>
      </c>
      <c r="AE146" s="151">
        <f>$I144*$K144*VLOOKUP($C146,Data!$Q$9:$BO$17,Data!AQ$8,FALSE)</f>
        <v>0</v>
      </c>
      <c r="AF146" s="189"/>
      <c r="AI146" s="68"/>
    </row>
    <row r="147" spans="2:37" ht="15.75" hidden="1" outlineLevel="1" x14ac:dyDescent="0.25">
      <c r="B147" s="187"/>
      <c r="C147" s="126" t="s">
        <v>203</v>
      </c>
      <c r="D147" s="6"/>
      <c r="E147" s="6"/>
      <c r="F147" s="6"/>
      <c r="G147" s="6"/>
      <c r="H147" s="133" t="str">
        <f>IF(VLOOKUP($F$3,Data!$A$33:$BY$78,Data!$BY$32,FALSE)=1,VLOOKUP($F$3,Data!$A$33:$BM$78,Data!R$32,FALSE),VLOOKUP($F$3,Data!$A$33:$BM$78,Data!AP$32,FALSE))</f>
        <v>m</v>
      </c>
      <c r="I147" s="133" t="str">
        <f>IF(VLOOKUP($F$3,Data!$A$33:$BY$78,Data!$BY$32,FALSE)=1,VLOOKUP($F$3,Data!$A$33:$BM$78,Data!S$32,FALSE),VLOOKUP($F$3,Data!$A$33:$BM$78,Data!AQ$32,FALSE))</f>
        <v>m</v>
      </c>
      <c r="J147" s="133" t="str">
        <f>IF(VLOOKUP($F$3,Data!$A$33:$BY$78,Data!$BY$32,FALSE)=1,VLOOKUP($F$3,Data!$A$33:$BM$78,Data!T$32,FALSE),VLOOKUP($F$3,Data!$A$33:$BM$78,Data!AR$32,FALSE))</f>
        <v>m</v>
      </c>
      <c r="K147" s="133" t="str">
        <f>IF(VLOOKUP($F$3,Data!$A$33:$BY$78,Data!$BY$32,FALSE)=1,VLOOKUP($F$3,Data!$A$33:$BM$78,Data!U$32,FALSE),VLOOKUP($F$3,Data!$A$33:$BM$78,Data!AS$32,FALSE))</f>
        <v>m</v>
      </c>
      <c r="L147" s="133" t="str">
        <f>IF(VLOOKUP($F$3,Data!$A$33:$BY$78,Data!$BY$32,FALSE)=1,VLOOKUP($F$3,Data!$A$33:$BM$78,Data!V$32,FALSE),VLOOKUP($F$3,Data!$A$33:$BM$78,Data!AT$32,FALSE))</f>
        <v>m</v>
      </c>
      <c r="M147" s="133" t="str">
        <f>IF(VLOOKUP($F$3,Data!$A$33:$BY$78,Data!$BY$32,FALSE)=1,VLOOKUP($F$3,Data!$A$33:$BM$78,Data!W$32,FALSE),VLOOKUP($F$3,Data!$A$33:$BM$78,Data!AU$32,FALSE))</f>
        <v>m</v>
      </c>
      <c r="N147" s="133" t="str">
        <f>IF(VLOOKUP($F$3,Data!$A$33:$BY$78,Data!$BY$32,FALSE)=1,VLOOKUP($F$3,Data!$A$33:$BM$78,Data!X$32,FALSE),VLOOKUP($F$3,Data!$A$33:$BM$78,Data!AV$32,FALSE))</f>
        <v>m</v>
      </c>
      <c r="O147" s="133" t="str">
        <f>IF(VLOOKUP($F$3,Data!$A$33:$BY$78,Data!$BY$32,FALSE)=1,VLOOKUP($F$3,Data!$A$33:$BM$78,Data!Y$32,FALSE),VLOOKUP($F$3,Data!$A$33:$BM$78,Data!AW$32,FALSE))</f>
        <v>m</v>
      </c>
      <c r="P147" s="133" t="str">
        <f>IF(VLOOKUP($F$3,Data!$A$33:$BY$78,Data!$BY$32,FALSE)=1,VLOOKUP($F$3,Data!$A$33:$BM$78,Data!Z$32,FALSE),VLOOKUP($F$3,Data!$A$33:$BM$78,Data!AX$32,FALSE))</f>
        <v>m</v>
      </c>
      <c r="Q147" s="133" t="str">
        <f>IF(VLOOKUP($F$3,Data!$A$33:$BY$78,Data!$BY$32,FALSE)=1,VLOOKUP($F$3,Data!$A$33:$BM$78,Data!AA$32,FALSE),VLOOKUP($F$3,Data!$A$33:$BM$78,Data!AY$32,FALSE))</f>
        <v>m</v>
      </c>
      <c r="R147" s="133" t="str">
        <f>IF(VLOOKUP($F$3,Data!$A$33:$BY$78,Data!$BY$32,FALSE)=1,VLOOKUP($F$3,Data!$A$33:$BM$78,Data!AB$32,FALSE),VLOOKUP($F$3,Data!$A$33:$BM$78,Data!AZ$32,FALSE))</f>
        <v>o</v>
      </c>
      <c r="S147" s="133" t="str">
        <f>IF(VLOOKUP($F$3,Data!$A$33:$BY$78,Data!$BY$32,FALSE)=1,VLOOKUP($F$3,Data!$A$33:$BM$78,Data!AC$32,FALSE),VLOOKUP($F$3,Data!$A$33:$BM$78,Data!BA$32,FALSE))</f>
        <v>o</v>
      </c>
      <c r="T147" s="133" t="str">
        <f>IF(VLOOKUP($F$3,Data!$A$33:$BY$78,Data!$BY$32,FALSE)=1,VLOOKUP($F$3,Data!$A$33:$BM$78,Data!AD$32,FALSE),VLOOKUP($F$3,Data!$A$33:$BM$78,Data!BB$32,FALSE))</f>
        <v>o</v>
      </c>
      <c r="U147" s="133" t="str">
        <f>IF(VLOOKUP($F$3,Data!$A$33:$BY$78,Data!$BY$32,FALSE)=1,VLOOKUP($F$3,Data!$A$33:$BM$78,Data!AE$32,FALSE),VLOOKUP($F$3,Data!$A$33:$BM$78,Data!BC$32,FALSE))</f>
        <v>o</v>
      </c>
      <c r="V147" s="133" t="str">
        <f>IF(VLOOKUP($F$3,Data!$A$33:$BY$78,Data!$BY$32,FALSE)=1,VLOOKUP($F$3,Data!$A$33:$BM$78,Data!AF$32,FALSE),VLOOKUP($F$3,Data!$A$33:$BM$78,Data!BD$32,FALSE))</f>
        <v>o</v>
      </c>
      <c r="W147" s="133" t="str">
        <f>IF(VLOOKUP($F$3,Data!$A$33:$BY$78,Data!$BY$32,FALSE)=1,VLOOKUP($F$3,Data!$A$33:$BM$78,Data!AG$32,FALSE),VLOOKUP($F$3,Data!$A$33:$BM$78,Data!BE$32,FALSE))</f>
        <v>o</v>
      </c>
      <c r="X147" s="133" t="str">
        <f>IF(VLOOKUP($F$3,Data!$A$33:$BY$78,Data!$BY$32,FALSE)=1,VLOOKUP($F$3,Data!$A$33:$BM$78,Data!AH$32,FALSE),VLOOKUP($F$3,Data!$A$33:$BM$78,Data!BF$32,FALSE))</f>
        <v>o</v>
      </c>
      <c r="Y147" s="133" t="str">
        <f>IF(VLOOKUP($F$3,Data!$A$33:$BY$78,Data!$BY$32,FALSE)=1,VLOOKUP($F$3,Data!$A$33:$BM$78,Data!AI$32,FALSE),VLOOKUP($F$3,Data!$A$33:$BM$78,Data!BG$32,FALSE))</f>
        <v>o</v>
      </c>
      <c r="Z147" s="133" t="str">
        <f>IF(VLOOKUP($F$3,Data!$A$33:$BY$78,Data!$BY$32,FALSE)=1,VLOOKUP($F$3,Data!$A$33:$BM$78,Data!AJ$32,FALSE),VLOOKUP($F$3,Data!$A$33:$BM$78,Data!BH$32,FALSE))</f>
        <v>o</v>
      </c>
      <c r="AA147" s="133" t="str">
        <f>IF(VLOOKUP($F$3,Data!$A$33:$BY$78,Data!$BY$32,FALSE)=1,VLOOKUP($F$3,Data!$A$33:$BM$78,Data!AK$32,FALSE),VLOOKUP($F$3,Data!$A$33:$BM$78,Data!BI$32,FALSE))</f>
        <v>o</v>
      </c>
      <c r="AB147" s="133" t="str">
        <f>IF(VLOOKUP($F$3,Data!$A$33:$BY$78,Data!$BY$32,FALSE)=1,VLOOKUP($F$3,Data!$A$33:$BM$78,Data!AL$32,FALSE),VLOOKUP($F$3,Data!$A$33:$BM$78,Data!BJ$32,FALSE))</f>
        <v>o</v>
      </c>
      <c r="AC147" s="133" t="str">
        <f>IF(VLOOKUP($F$3,Data!$A$33:$BY$78,Data!$BY$32,FALSE)=1,VLOOKUP($F$3,Data!$A$33:$BM$78,Data!AM$32,FALSE),VLOOKUP($F$3,Data!$A$33:$BM$78,Data!BK$32,FALSE))</f>
        <v>o</v>
      </c>
      <c r="AD147" s="133" t="str">
        <f>IF(VLOOKUP($F$3,Data!$A$33:$BY$78,Data!$BY$32,FALSE)=1,VLOOKUP($F$3,Data!$A$33:$BM$78,Data!AN$32,FALSE),VLOOKUP($F$3,Data!$A$33:$BM$78,Data!BL$32,FALSE))</f>
        <v>o</v>
      </c>
      <c r="AE147" s="133" t="str">
        <f>IF(VLOOKUP($F$3,Data!$A$33:$BY$78,Data!$BY$32,FALSE)=1,VLOOKUP($F$3,Data!$A$33:$BM$78,Data!AO$32,FALSE),VLOOKUP($F$3,Data!$A$33:$BM$78,Data!BM$32,FALSE))</f>
        <v>o</v>
      </c>
      <c r="AF147" s="189"/>
      <c r="AI147" s="23"/>
      <c r="AJ147" s="23"/>
      <c r="AK147" s="102"/>
    </row>
    <row r="148" spans="2:37" ht="15.75" hidden="1" outlineLevel="1" x14ac:dyDescent="0.25">
      <c r="B148" s="187"/>
      <c r="C148" s="126"/>
      <c r="D148" s="6"/>
      <c r="E148" s="6"/>
      <c r="F148" s="6"/>
      <c r="G148" s="6"/>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89"/>
      <c r="AI148" s="23"/>
      <c r="AJ148" s="23"/>
      <c r="AK148" s="102"/>
    </row>
    <row r="149" spans="2:37" ht="16.5" hidden="1" outlineLevel="1" thickBot="1" x14ac:dyDescent="0.3">
      <c r="B149" s="187"/>
      <c r="C149" s="73" t="s">
        <v>204</v>
      </c>
      <c r="D149" s="73"/>
      <c r="E149" s="73"/>
      <c r="F149" s="73"/>
      <c r="G149" s="259" t="str">
        <f>IF($W$12="Tier","Tier 1","On-Peak")</f>
        <v>On-Peak</v>
      </c>
      <c r="H149" s="259"/>
      <c r="I149" s="259" t="str">
        <f>IF($W$12="Tier","Tier 2","Mid-Peak")</f>
        <v>Mid-Peak</v>
      </c>
      <c r="J149" s="259"/>
      <c r="K149" s="259" t="str">
        <f>IF($W$12="Tier","Tier 3","Off-Peak")</f>
        <v>Off-Peak</v>
      </c>
      <c r="L149" s="259"/>
      <c r="M149" s="259" t="s">
        <v>12</v>
      </c>
      <c r="N149" s="259"/>
      <c r="O149" s="6"/>
      <c r="P149" s="6"/>
      <c r="Q149" s="243" t="str">
        <f>IF($W12="Subscription","December Subscription","December Demand")</f>
        <v>December Demand</v>
      </c>
      <c r="R149" s="243"/>
      <c r="S149" s="236"/>
      <c r="T149" s="259" t="str">
        <f>IF(ISNUMBER(FIND("SDG&amp;E AL-TOU2",$F$3)),"TOU Demand","")</f>
        <v/>
      </c>
      <c r="U149" s="259"/>
      <c r="V149" s="259" t="str">
        <f>IF($W144="Subscription","Subscription","Maximum")</f>
        <v>Maximum</v>
      </c>
      <c r="W149" s="259"/>
      <c r="X149" s="259" t="s">
        <v>60</v>
      </c>
      <c r="Y149" s="259"/>
      <c r="Z149" s="259" t="s">
        <v>61</v>
      </c>
      <c r="AA149" s="259"/>
      <c r="AB149" s="259" t="s">
        <v>55</v>
      </c>
      <c r="AC149" s="259"/>
      <c r="AD149" s="259" t="s">
        <v>12</v>
      </c>
      <c r="AE149" s="259"/>
      <c r="AF149" s="189"/>
    </row>
    <row r="150" spans="2:37" ht="15" hidden="1" customHeight="1" outlineLevel="1" x14ac:dyDescent="0.25">
      <c r="B150" s="187"/>
      <c r="C150" s="6" t="s">
        <v>103</v>
      </c>
      <c r="D150" s="6"/>
      <c r="E150" s="6"/>
      <c r="F150" s="6"/>
      <c r="G150" s="260">
        <f>SUMIF($H147:$AE147,"p",$H146:$AE146)/SUM($H146:$AE146)</f>
        <v>0</v>
      </c>
      <c r="H150" s="260"/>
      <c r="I150" s="260">
        <f>SUMIF($H147:$AE147,"m",$H146:$AE146)/SUM($H146:$AE146)</f>
        <v>0</v>
      </c>
      <c r="J150" s="260"/>
      <c r="K150" s="284">
        <f>SUMIF($H147:$AE147,"o",$H146:$AE146)/SUM($H146:$AE146)</f>
        <v>1</v>
      </c>
      <c r="L150" s="284"/>
      <c r="M150" s="6"/>
      <c r="N150" s="6"/>
      <c r="O150" s="6"/>
      <c r="P150" s="6"/>
      <c r="Q150" s="6" t="s">
        <v>104</v>
      </c>
      <c r="R150" s="6"/>
      <c r="S150" s="6"/>
      <c r="T150" s="291" t="str">
        <f>IF(ISNUMBER(FIND("SDG&amp;E AL-TOU2",$F$3)),MAX($X150:$AA150),"")</f>
        <v/>
      </c>
      <c r="U150" s="291"/>
      <c r="V150" s="260">
        <f>IF($W144="Subscription","",MAX($X150:$AC150))</f>
        <v>1</v>
      </c>
      <c r="W150" s="260"/>
      <c r="X150" s="284">
        <f t="array" ref="X150">MAX(IF($H147:$AE147="p",$H146:$AE146))</f>
        <v>0</v>
      </c>
      <c r="Y150" s="284"/>
      <c r="Z150" s="284">
        <f t="array" ref="Z150">MAX(IF($H147:$AE147="m",$H146:$AE146))</f>
        <v>0</v>
      </c>
      <c r="AA150" s="284"/>
      <c r="AB150" s="284">
        <f t="array" ref="AB150">MAX(IF($H147:$AE147="o",$H146:$AE146))</f>
        <v>1</v>
      </c>
      <c r="AC150" s="284"/>
      <c r="AD150" s="6"/>
      <c r="AE150" s="6"/>
      <c r="AF150" s="189"/>
    </row>
    <row r="151" spans="2:37" ht="15.75" hidden="1" outlineLevel="1" x14ac:dyDescent="0.25">
      <c r="B151" s="187"/>
      <c r="C151" s="6" t="s">
        <v>101</v>
      </c>
      <c r="D151" s="6"/>
      <c r="E151" s="6"/>
      <c r="F151" s="6"/>
      <c r="G151" s="265">
        <f>IF( $W$12="Tier",IF(OR(VLOOKUP($F$3,Data!$A$33:$CN$78,Data!CM$32,FALSE)&gt;$M151,VLOOKUP($F$3,Data!$A$33:$CN$78,Data!CM$32,FALSE)=0),$M151,VLOOKUP($F$3,Data!$A$33:$CN$78,Data!CM$32,FALSE)),$M151*$G150)</f>
        <v>0</v>
      </c>
      <c r="H151" s="265"/>
      <c r="I151" s="265">
        <f>IF(
 $W$12="Tier",
 IF(
  OR($M151&lt;VLOOKUP($F$3,Data!$A$33:$CN$78,Data!CM$32,FALSE),VLOOKUP($F$3,Data!$A$33:$CN$78,Data!CM$32,FALSE)=0),
  0,
   IF(
    OR($M151&gt;VLOOKUP($F$3,Data!$A$33:$CN$78,Data!CM$32,FALSE),VLOOKUP($F$3,Data!$A$33:$CN$78,Data!CN$32,FALSE)=0),
    $M151-VLOOKUP($F$3,Data!$A$33:$CN$78,Data!CM$32,FALSE),
    VLOOKUP($F$3,Data!$A$33:$CN$78,Data!CN$32,FALSE)-VLOOKUP($F$3,Data!$A$33:$CN$78,Data!CM$32,FALSE)
   )
 ),
 $M151*$I150)</f>
        <v>0</v>
      </c>
      <c r="J151" s="265"/>
      <c r="K151" s="265">
        <f>IF($W$12="Tier",M151-SUM(G151:J151),$M151*K150)</f>
        <v>82666.666666666672</v>
      </c>
      <c r="L151" s="265"/>
      <c r="M151" s="261">
        <f>+$O$143*F143*$F$6*31/$F$7</f>
        <v>82666.666666666672</v>
      </c>
      <c r="N151" s="261"/>
      <c r="O151" s="6"/>
      <c r="P151" s="6"/>
      <c r="Q151" s="6" t="s">
        <v>107</v>
      </c>
      <c r="R151" s="6"/>
      <c r="S151" s="6"/>
      <c r="T151" s="262" t="str">
        <f>IF(ISNUMBER(FIND("SDG&amp;E AL-TOU2",$F$3)),ROUND(MAX($X151:$AA151),0),"")</f>
        <v/>
      </c>
      <c r="U151" s="262"/>
      <c r="V151" s="261">
        <f>IF($W144="Subscription",$F$9,ROUND(MAX($X151:$AC151),0))</f>
        <v>380</v>
      </c>
      <c r="W151" s="262"/>
      <c r="X151" s="265">
        <f>VLOOKUP($F$5,Data!$A$9:$C$21,Data!$B$8,FALSE)*$O144*$X150</f>
        <v>0</v>
      </c>
      <c r="Y151" s="265"/>
      <c r="Z151" s="265">
        <f>VLOOKUP($F$5,Data!$A$9:$C$21,Data!$B$8,FALSE)*$O144*$Z150</f>
        <v>0</v>
      </c>
      <c r="AA151" s="265"/>
      <c r="AB151" s="265">
        <f>VLOOKUP($F$5,Data!$A$9:$C$21,Data!$B$8,FALSE)*$O144*$AB150</f>
        <v>380</v>
      </c>
      <c r="AC151" s="265"/>
      <c r="AD151" s="261"/>
      <c r="AE151" s="261"/>
      <c r="AF151" s="189"/>
    </row>
    <row r="152" spans="2:37" ht="16.5" hidden="1" outlineLevel="1" thickBot="1" x14ac:dyDescent="0.3">
      <c r="B152" s="187"/>
      <c r="C152" s="56" t="s">
        <v>100</v>
      </c>
      <c r="D152" s="56"/>
      <c r="E152" s="56"/>
      <c r="F152" s="56"/>
      <c r="G152" s="263">
        <f>IF($W$12="Tier",IF(VLOOKUP($F$3,Data!$A$33:$CN$78,Data!BZ$32,FALSE)=1,VLOOKUP($F$3,Data!$A$33:$CN$78,Data!CE$32,FALSE),VLOOKUP($F$3,Data!$A$33:$CN$78,Data!CJ$32,FALSE)),IF(VLOOKUP($F$3,Data!$A$33:$CN$78,Data!BZ$32,FALSE)=1,VLOOKUP($F$3,Data!$A$33:$CN$78,Data!$K$32,FALSE),VLOOKUP($F$3,Data!$A$33:$CN$78,Data!$N$32,FALSE)))</f>
        <v>0.10590000000000001</v>
      </c>
      <c r="H152" s="263"/>
      <c r="I152" s="263">
        <f>IF($W$12="Tier",IF(VLOOKUP($F$3,Data!$A$33:$CN$78,Data!BZ$32,FALSE) = 1,VLOOKUP($F$3,Data!$A$33:$CN$78,Data!CF$32,FALSE),VLOOKUP($F$3,Data!$A$33:$CN$78,Data!CK$32,FALSE)),IF(VLOOKUP($F$3,Data!$A$33:$CN$78,Data!BZ$32,FALSE) = 1,VLOOKUP($F$3,Data!$A$33:$CN$78,Data!$L$32,FALSE),VLOOKUP($F$3,Data!$A$33:$CN$78,Data!$O$32,FALSE)))</f>
        <v>0</v>
      </c>
      <c r="J152" s="263"/>
      <c r="K152" s="263">
        <f>IF($W$12="Tier",IF(VLOOKUP($F$3,Data!$A$33:$CN$78,Data!BZ$32,FALSE) = 1,VLOOKUP($F$3,Data!$A$33:$CN$78,Data!CG$32,FALSE),VLOOKUP($F$3,Data!$A$33:$CN$78,Data!CL$32,FALSE)),IF(VLOOKUP($F$3,Data!$A$33:$CN$78,Data!BZ$32,FALSE) = 1,VLOOKUP($F$3,Data!$A$33:$CN$78,Data!$M$32,FALSE),VLOOKUP($F$3,Data!$A$33:$CN$78,Data!$P$32,FALSE)))</f>
        <v>8.4400000000000003E-2</v>
      </c>
      <c r="L152" s="263"/>
      <c r="M152" s="266"/>
      <c r="N152" s="266"/>
      <c r="O152" s="6"/>
      <c r="P152" s="6"/>
      <c r="Q152" s="56" t="str">
        <f>IF($W144="Subscription","Subscription Rate ($/kW)","Demand Rate ($/kW)")</f>
        <v>Demand Rate ($/kW)</v>
      </c>
      <c r="R152" s="56"/>
      <c r="S152" s="56"/>
      <c r="T152" s="263" t="str">
        <f>IF(ISNUMBER(FIND("SDG&amp;E AL-TOU2",$F$3)),19.7,"")</f>
        <v/>
      </c>
      <c r="U152" s="263"/>
      <c r="V152" s="263">
        <f>IF(VLOOKUP($F$3,Data!$A$33:$CN$78,Data!BZ$32,FALSE) = 1,VLOOKUP($F$3,Data!$A$33:$CN$78,Data!$C$32,FALSE),VLOOKUP($F$3,Data!$A$33:$CN$78,Data!$G$32,FALSE))</f>
        <v>3.8</v>
      </c>
      <c r="W152" s="263"/>
      <c r="X152" s="263">
        <f>IF(VLOOKUP($F$3,Data!$A$33:$CN$78,Data!BZ$32,FALSE) = 1,VLOOKUP($F$3,Data!$A$33:$CN$78,Data!$D$32,FALSE),VLOOKUP($F$3,Data!$A$33:$CN$78,Data!$H$32,FALSE))</f>
        <v>0</v>
      </c>
      <c r="Y152" s="263"/>
      <c r="Z152" s="263">
        <f>IF(VLOOKUP($F$3,Data!$A$33:$CN$78,Data!BZ$32,FALSE) = 1,VLOOKUP($F$3,Data!$A$33:$CN$78,Data!$E$32,FALSE),VLOOKUP($F$3,Data!$A$33:$CN$78,Data!$I$32,FALSE))</f>
        <v>0</v>
      </c>
      <c r="AA152" s="263"/>
      <c r="AB152" s="263">
        <f>IF(VLOOKUP($F$3,Data!$A$33:$CN$78,Data!BZ$32,FALSE) = 1,VLOOKUP($F$3,Data!$A$33:$CN$78,Data!$F$32,FALSE),VLOOKUP($F$3,Data!$A$33:$CN$78,Data!$J$32,FALSE))</f>
        <v>0</v>
      </c>
      <c r="AC152" s="263"/>
      <c r="AD152" s="56"/>
      <c r="AE152" s="56"/>
      <c r="AF152" s="189"/>
    </row>
    <row r="153" spans="2:37" ht="15.75" hidden="1" outlineLevel="1" x14ac:dyDescent="0.25">
      <c r="B153" s="187"/>
      <c r="C153" s="92" t="s">
        <v>102</v>
      </c>
      <c r="D153" s="76"/>
      <c r="E153" s="76"/>
      <c r="F153" s="76"/>
      <c r="G153" s="270">
        <f>+G151*G152</f>
        <v>0</v>
      </c>
      <c r="H153" s="270"/>
      <c r="I153" s="269">
        <f>+I151*I152</f>
        <v>0</v>
      </c>
      <c r="J153" s="269"/>
      <c r="K153" s="270">
        <f>+K151*K152</f>
        <v>6977.0666666666675</v>
      </c>
      <c r="L153" s="270"/>
      <c r="M153" s="269">
        <f>SUM(G153:L153)</f>
        <v>6977.0666666666675</v>
      </c>
      <c r="N153" s="269"/>
      <c r="O153" s="6"/>
      <c r="P153" s="6"/>
      <c r="Q153" s="6" t="str">
        <f>IF($W144="Subscription","Subscription Fee","Demand Charge")</f>
        <v>Demand Charge</v>
      </c>
      <c r="R153" s="72"/>
      <c r="S153" s="72"/>
      <c r="T153" s="287" t="str">
        <f>IF(ISNUMBER(FIND("SDG&amp;E AL-TOU2",$F$3)),$T151*$T152,"")</f>
        <v/>
      </c>
      <c r="U153" s="287"/>
      <c r="V153" s="293">
        <f>+V151*V152</f>
        <v>1444</v>
      </c>
      <c r="W153" s="293"/>
      <c r="X153" s="293">
        <f>+X151*X152</f>
        <v>0</v>
      </c>
      <c r="Y153" s="293"/>
      <c r="Z153" s="293">
        <f>+Z151*Z152</f>
        <v>0</v>
      </c>
      <c r="AA153" s="293"/>
      <c r="AB153" s="293">
        <f>+AB151*AB152</f>
        <v>0</v>
      </c>
      <c r="AC153" s="293"/>
      <c r="AD153" s="293">
        <f>SUM(T153:AC153)</f>
        <v>1444</v>
      </c>
      <c r="AE153" s="293"/>
      <c r="AF153" s="189"/>
    </row>
    <row r="154" spans="2:37" ht="15.75" hidden="1" outlineLevel="1" x14ac:dyDescent="0.25">
      <c r="B154" s="190"/>
      <c r="C154" s="174"/>
      <c r="D154" s="175"/>
      <c r="E154" s="175"/>
      <c r="F154" s="175"/>
      <c r="G154" s="176"/>
      <c r="H154" s="176"/>
      <c r="I154" s="176"/>
      <c r="J154" s="176"/>
      <c r="K154" s="176"/>
      <c r="L154" s="176"/>
      <c r="M154" s="176"/>
      <c r="N154" s="176"/>
      <c r="O154" s="177"/>
      <c r="P154" s="177"/>
      <c r="Q154" s="177"/>
      <c r="R154" s="177"/>
      <c r="S154" s="177"/>
      <c r="T154" s="177"/>
      <c r="U154" s="177"/>
      <c r="V154" s="178"/>
      <c r="W154" s="178"/>
      <c r="X154" s="178"/>
      <c r="Y154" s="178"/>
      <c r="Z154" s="178"/>
      <c r="AA154" s="178"/>
      <c r="AB154" s="178"/>
      <c r="AC154" s="178"/>
      <c r="AD154" s="178"/>
      <c r="AE154" s="178"/>
      <c r="AF154" s="191"/>
    </row>
    <row r="155" spans="2:37" x14ac:dyDescent="0.2">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93"/>
    </row>
  </sheetData>
  <mergeCells count="601">
    <mergeCell ref="F9:G9"/>
    <mergeCell ref="T2:AF2"/>
    <mergeCell ref="F3:K3"/>
    <mergeCell ref="F5:G5"/>
    <mergeCell ref="F7:G7"/>
    <mergeCell ref="Z18:AA18"/>
    <mergeCell ref="AB18:AC18"/>
    <mergeCell ref="G17:H17"/>
    <mergeCell ref="I17:J17"/>
    <mergeCell ref="K17:L17"/>
    <mergeCell ref="M17:N17"/>
    <mergeCell ref="V17:W17"/>
    <mergeCell ref="X17:Y17"/>
    <mergeCell ref="M7:N7"/>
    <mergeCell ref="O7:P7"/>
    <mergeCell ref="J11:L11"/>
    <mergeCell ref="Z17:AA17"/>
    <mergeCell ref="AB17:AC17"/>
    <mergeCell ref="T4:AF5"/>
    <mergeCell ref="F6:G6"/>
    <mergeCell ref="AD17:AE17"/>
    <mergeCell ref="G18:H18"/>
    <mergeCell ref="I18:J18"/>
    <mergeCell ref="K18:L18"/>
    <mergeCell ref="V18:W18"/>
    <mergeCell ref="X18:Y18"/>
    <mergeCell ref="AB29:AC29"/>
    <mergeCell ref="AD29:AE29"/>
    <mergeCell ref="G30:H30"/>
    <mergeCell ref="I30:J30"/>
    <mergeCell ref="K30:L30"/>
    <mergeCell ref="V30:W30"/>
    <mergeCell ref="X30:Y30"/>
    <mergeCell ref="AB19:AC19"/>
    <mergeCell ref="AD19:AE19"/>
    <mergeCell ref="G20:H20"/>
    <mergeCell ref="I20:J20"/>
    <mergeCell ref="K20:L20"/>
    <mergeCell ref="M20:N20"/>
    <mergeCell ref="V20:W20"/>
    <mergeCell ref="X20:Y20"/>
    <mergeCell ref="Z20:AA20"/>
    <mergeCell ref="G19:H19"/>
    <mergeCell ref="I19:J19"/>
    <mergeCell ref="K19:L19"/>
    <mergeCell ref="M19:N19"/>
    <mergeCell ref="V19:W19"/>
    <mergeCell ref="X19:Y19"/>
    <mergeCell ref="AD21:AE21"/>
    <mergeCell ref="AB20:AC20"/>
    <mergeCell ref="G21:H21"/>
    <mergeCell ref="I21:J21"/>
    <mergeCell ref="K21:L21"/>
    <mergeCell ref="M21:N21"/>
    <mergeCell ref="V21:W21"/>
    <mergeCell ref="X21:Y21"/>
    <mergeCell ref="Z21:AA21"/>
    <mergeCell ref="AB21:AC21"/>
    <mergeCell ref="AD41:AE41"/>
    <mergeCell ref="J35:L35"/>
    <mergeCell ref="AB33:AC33"/>
    <mergeCell ref="AD33:AE33"/>
    <mergeCell ref="J23:L23"/>
    <mergeCell ref="C26:G26"/>
    <mergeCell ref="Z19:AA19"/>
    <mergeCell ref="Z32:AA32"/>
    <mergeCell ref="AB32:AC32"/>
    <mergeCell ref="G33:H33"/>
    <mergeCell ref="I33:J33"/>
    <mergeCell ref="K33:L33"/>
    <mergeCell ref="M33:N33"/>
    <mergeCell ref="V33:W33"/>
    <mergeCell ref="X33:Y33"/>
    <mergeCell ref="Z33:AA33"/>
    <mergeCell ref="X31:Y31"/>
    <mergeCell ref="Z31:AA31"/>
    <mergeCell ref="AB31:AC31"/>
    <mergeCell ref="AD31:AE31"/>
    <mergeCell ref="G32:H32"/>
    <mergeCell ref="I32:J32"/>
    <mergeCell ref="K32:L32"/>
    <mergeCell ref="M32:N32"/>
    <mergeCell ref="G41:H41"/>
    <mergeCell ref="I41:J41"/>
    <mergeCell ref="K41:L41"/>
    <mergeCell ref="M41:N41"/>
    <mergeCell ref="V41:W41"/>
    <mergeCell ref="X41:Y41"/>
    <mergeCell ref="Z30:AA30"/>
    <mergeCell ref="AB30:AC30"/>
    <mergeCell ref="G29:H29"/>
    <mergeCell ref="I29:J29"/>
    <mergeCell ref="K29:L29"/>
    <mergeCell ref="M29:N29"/>
    <mergeCell ref="V29:W29"/>
    <mergeCell ref="X29:Y29"/>
    <mergeCell ref="V32:W32"/>
    <mergeCell ref="X32:Y32"/>
    <mergeCell ref="T33:U33"/>
    <mergeCell ref="T41:U41"/>
    <mergeCell ref="G31:H31"/>
    <mergeCell ref="I31:J31"/>
    <mergeCell ref="K31:L31"/>
    <mergeCell ref="M31:N31"/>
    <mergeCell ref="V31:W31"/>
    <mergeCell ref="Z29:AA29"/>
    <mergeCell ref="AB44:AC44"/>
    <mergeCell ref="G45:H45"/>
    <mergeCell ref="I45:J45"/>
    <mergeCell ref="K45:L45"/>
    <mergeCell ref="M45:N45"/>
    <mergeCell ref="V45:W45"/>
    <mergeCell ref="X45:Y45"/>
    <mergeCell ref="G42:H42"/>
    <mergeCell ref="I42:J42"/>
    <mergeCell ref="K42:L42"/>
    <mergeCell ref="V42:W42"/>
    <mergeCell ref="X42:Y42"/>
    <mergeCell ref="Z42:AA42"/>
    <mergeCell ref="AB42:AC42"/>
    <mergeCell ref="G44:H44"/>
    <mergeCell ref="I44:J44"/>
    <mergeCell ref="K44:L44"/>
    <mergeCell ref="M44:N44"/>
    <mergeCell ref="V44:W44"/>
    <mergeCell ref="X44:Y44"/>
    <mergeCell ref="Z44:AA44"/>
    <mergeCell ref="G43:H43"/>
    <mergeCell ref="I43:J43"/>
    <mergeCell ref="K43:L43"/>
    <mergeCell ref="M43:N43"/>
    <mergeCell ref="V43:W43"/>
    <mergeCell ref="X43:Y43"/>
    <mergeCell ref="Z41:AA41"/>
    <mergeCell ref="AB41:AC41"/>
    <mergeCell ref="C38:G38"/>
    <mergeCell ref="AD53:AE53"/>
    <mergeCell ref="G54:H54"/>
    <mergeCell ref="I54:J54"/>
    <mergeCell ref="K54:L54"/>
    <mergeCell ref="V54:W54"/>
    <mergeCell ref="X54:Y54"/>
    <mergeCell ref="Z54:AA54"/>
    <mergeCell ref="AB54:AC54"/>
    <mergeCell ref="C50:G50"/>
    <mergeCell ref="G53:H53"/>
    <mergeCell ref="I53:J53"/>
    <mergeCell ref="K53:L53"/>
    <mergeCell ref="M53:N53"/>
    <mergeCell ref="V53:W53"/>
    <mergeCell ref="X53:Y53"/>
    <mergeCell ref="Z53:AA53"/>
    <mergeCell ref="J47:L47"/>
    <mergeCell ref="AD45:AE45"/>
    <mergeCell ref="Z43:AA43"/>
    <mergeCell ref="AB43:AC43"/>
    <mergeCell ref="AD43:AE43"/>
    <mergeCell ref="AB56:AC56"/>
    <mergeCell ref="G57:H57"/>
    <mergeCell ref="I57:J57"/>
    <mergeCell ref="K57:L57"/>
    <mergeCell ref="M57:N57"/>
    <mergeCell ref="V57:W57"/>
    <mergeCell ref="X57:Y57"/>
    <mergeCell ref="Z45:AA45"/>
    <mergeCell ref="AB45:AC45"/>
    <mergeCell ref="K56:L56"/>
    <mergeCell ref="M56:N56"/>
    <mergeCell ref="V56:W56"/>
    <mergeCell ref="X56:Y56"/>
    <mergeCell ref="Z56:AA56"/>
    <mergeCell ref="G55:H55"/>
    <mergeCell ref="I55:J55"/>
    <mergeCell ref="K55:L55"/>
    <mergeCell ref="M55:N55"/>
    <mergeCell ref="V55:W55"/>
    <mergeCell ref="X55:Y55"/>
    <mergeCell ref="AB53:AC53"/>
    <mergeCell ref="AD65:AE65"/>
    <mergeCell ref="G66:H66"/>
    <mergeCell ref="I66:J66"/>
    <mergeCell ref="K66:L66"/>
    <mergeCell ref="V66:W66"/>
    <mergeCell ref="X66:Y66"/>
    <mergeCell ref="Z66:AA66"/>
    <mergeCell ref="AB66:AC66"/>
    <mergeCell ref="C62:G62"/>
    <mergeCell ref="G65:H65"/>
    <mergeCell ref="I65:J65"/>
    <mergeCell ref="K65:L65"/>
    <mergeCell ref="M65:N65"/>
    <mergeCell ref="V65:W65"/>
    <mergeCell ref="X65:Y65"/>
    <mergeCell ref="Z65:AA65"/>
    <mergeCell ref="J59:L59"/>
    <mergeCell ref="AD57:AE57"/>
    <mergeCell ref="Z55:AA55"/>
    <mergeCell ref="AB55:AC55"/>
    <mergeCell ref="AD55:AE55"/>
    <mergeCell ref="G56:H56"/>
    <mergeCell ref="I56:J56"/>
    <mergeCell ref="AB68:AC68"/>
    <mergeCell ref="G69:H69"/>
    <mergeCell ref="I69:J69"/>
    <mergeCell ref="K69:L69"/>
    <mergeCell ref="M69:N69"/>
    <mergeCell ref="V69:W69"/>
    <mergeCell ref="X69:Y69"/>
    <mergeCell ref="Z57:AA57"/>
    <mergeCell ref="AB57:AC57"/>
    <mergeCell ref="K68:L68"/>
    <mergeCell ref="M68:N68"/>
    <mergeCell ref="V68:W68"/>
    <mergeCell ref="X68:Y68"/>
    <mergeCell ref="Z68:AA68"/>
    <mergeCell ref="G67:H67"/>
    <mergeCell ref="I67:J67"/>
    <mergeCell ref="K67:L67"/>
    <mergeCell ref="M67:N67"/>
    <mergeCell ref="V67:W67"/>
    <mergeCell ref="X67:Y67"/>
    <mergeCell ref="AB65:AC65"/>
    <mergeCell ref="AD77:AE77"/>
    <mergeCell ref="G78:H78"/>
    <mergeCell ref="I78:J78"/>
    <mergeCell ref="K78:L78"/>
    <mergeCell ref="V78:W78"/>
    <mergeCell ref="X78:Y78"/>
    <mergeCell ref="Z78:AA78"/>
    <mergeCell ref="AB78:AC78"/>
    <mergeCell ref="C74:G74"/>
    <mergeCell ref="G77:H77"/>
    <mergeCell ref="I77:J77"/>
    <mergeCell ref="K77:L77"/>
    <mergeCell ref="M77:N77"/>
    <mergeCell ref="V77:W77"/>
    <mergeCell ref="X77:Y77"/>
    <mergeCell ref="Z77:AA77"/>
    <mergeCell ref="J71:L71"/>
    <mergeCell ref="AD69:AE69"/>
    <mergeCell ref="Z67:AA67"/>
    <mergeCell ref="AB67:AC67"/>
    <mergeCell ref="AD67:AE67"/>
    <mergeCell ref="G68:H68"/>
    <mergeCell ref="I68:J68"/>
    <mergeCell ref="AB80:AC80"/>
    <mergeCell ref="G81:H81"/>
    <mergeCell ref="I81:J81"/>
    <mergeCell ref="K81:L81"/>
    <mergeCell ref="M81:N81"/>
    <mergeCell ref="V81:W81"/>
    <mergeCell ref="X81:Y81"/>
    <mergeCell ref="Z69:AA69"/>
    <mergeCell ref="AB69:AC69"/>
    <mergeCell ref="K80:L80"/>
    <mergeCell ref="M80:N80"/>
    <mergeCell ref="V80:W80"/>
    <mergeCell ref="X80:Y80"/>
    <mergeCell ref="Z80:AA80"/>
    <mergeCell ref="G79:H79"/>
    <mergeCell ref="I79:J79"/>
    <mergeCell ref="K79:L79"/>
    <mergeCell ref="M79:N79"/>
    <mergeCell ref="V79:W79"/>
    <mergeCell ref="X79:Y79"/>
    <mergeCell ref="AB77:AC77"/>
    <mergeCell ref="AD89:AE89"/>
    <mergeCell ref="G90:H90"/>
    <mergeCell ref="I90:J90"/>
    <mergeCell ref="K90:L90"/>
    <mergeCell ref="V90:W90"/>
    <mergeCell ref="X90:Y90"/>
    <mergeCell ref="Z90:AA90"/>
    <mergeCell ref="AB90:AC90"/>
    <mergeCell ref="C86:G86"/>
    <mergeCell ref="G89:H89"/>
    <mergeCell ref="I89:J89"/>
    <mergeCell ref="K89:L89"/>
    <mergeCell ref="M89:N89"/>
    <mergeCell ref="V89:W89"/>
    <mergeCell ref="X89:Y89"/>
    <mergeCell ref="Z89:AA89"/>
    <mergeCell ref="T90:U90"/>
    <mergeCell ref="J83:L83"/>
    <mergeCell ref="AD81:AE81"/>
    <mergeCell ref="Z79:AA79"/>
    <mergeCell ref="AB79:AC79"/>
    <mergeCell ref="AD79:AE79"/>
    <mergeCell ref="G80:H80"/>
    <mergeCell ref="I80:J80"/>
    <mergeCell ref="AB92:AC92"/>
    <mergeCell ref="G93:H93"/>
    <mergeCell ref="I93:J93"/>
    <mergeCell ref="K93:L93"/>
    <mergeCell ref="M93:N93"/>
    <mergeCell ref="V93:W93"/>
    <mergeCell ref="X93:Y93"/>
    <mergeCell ref="Z81:AA81"/>
    <mergeCell ref="AB81:AC81"/>
    <mergeCell ref="K92:L92"/>
    <mergeCell ref="M92:N92"/>
    <mergeCell ref="V92:W92"/>
    <mergeCell ref="X92:Y92"/>
    <mergeCell ref="Z92:AA92"/>
    <mergeCell ref="G91:H91"/>
    <mergeCell ref="I91:J91"/>
    <mergeCell ref="K91:L91"/>
    <mergeCell ref="M91:N91"/>
    <mergeCell ref="V91:W91"/>
    <mergeCell ref="X91:Y91"/>
    <mergeCell ref="AB89:AC89"/>
    <mergeCell ref="AD101:AE101"/>
    <mergeCell ref="G102:H102"/>
    <mergeCell ref="I102:J102"/>
    <mergeCell ref="K102:L102"/>
    <mergeCell ref="V102:W102"/>
    <mergeCell ref="X102:Y102"/>
    <mergeCell ref="Z102:AA102"/>
    <mergeCell ref="AB102:AC102"/>
    <mergeCell ref="C98:G98"/>
    <mergeCell ref="G101:H101"/>
    <mergeCell ref="I101:J101"/>
    <mergeCell ref="K101:L101"/>
    <mergeCell ref="M101:N101"/>
    <mergeCell ref="V101:W101"/>
    <mergeCell ref="X101:Y101"/>
    <mergeCell ref="Z101:AA101"/>
    <mergeCell ref="J95:L95"/>
    <mergeCell ref="AD93:AE93"/>
    <mergeCell ref="Z91:AA91"/>
    <mergeCell ref="AB91:AC91"/>
    <mergeCell ref="AD91:AE91"/>
    <mergeCell ref="G92:H92"/>
    <mergeCell ref="I92:J92"/>
    <mergeCell ref="AB104:AC104"/>
    <mergeCell ref="G105:H105"/>
    <mergeCell ref="I105:J105"/>
    <mergeCell ref="K105:L105"/>
    <mergeCell ref="M105:N105"/>
    <mergeCell ref="V105:W105"/>
    <mergeCell ref="X105:Y105"/>
    <mergeCell ref="Z93:AA93"/>
    <mergeCell ref="AB93:AC93"/>
    <mergeCell ref="K104:L104"/>
    <mergeCell ref="M104:N104"/>
    <mergeCell ref="V104:W104"/>
    <mergeCell ref="X104:Y104"/>
    <mergeCell ref="Z104:AA104"/>
    <mergeCell ref="G103:H103"/>
    <mergeCell ref="I103:J103"/>
    <mergeCell ref="K103:L103"/>
    <mergeCell ref="M103:N103"/>
    <mergeCell ref="V103:W103"/>
    <mergeCell ref="X103:Y103"/>
    <mergeCell ref="AB101:AC101"/>
    <mergeCell ref="G114:H114"/>
    <mergeCell ref="I114:J114"/>
    <mergeCell ref="K114:L114"/>
    <mergeCell ref="V114:W114"/>
    <mergeCell ref="X114:Y114"/>
    <mergeCell ref="Z114:AA114"/>
    <mergeCell ref="AB114:AC114"/>
    <mergeCell ref="C110:G110"/>
    <mergeCell ref="G113:H113"/>
    <mergeCell ref="I113:J113"/>
    <mergeCell ref="K113:L113"/>
    <mergeCell ref="M113:N113"/>
    <mergeCell ref="V113:W113"/>
    <mergeCell ref="X113:Y113"/>
    <mergeCell ref="Z113:AA113"/>
    <mergeCell ref="AD105:AE105"/>
    <mergeCell ref="Z103:AA103"/>
    <mergeCell ref="AB103:AC103"/>
    <mergeCell ref="AD103:AE103"/>
    <mergeCell ref="G104:H104"/>
    <mergeCell ref="I104:J104"/>
    <mergeCell ref="AB116:AC116"/>
    <mergeCell ref="G117:H117"/>
    <mergeCell ref="I117:J117"/>
    <mergeCell ref="K117:L117"/>
    <mergeCell ref="M117:N117"/>
    <mergeCell ref="V117:W117"/>
    <mergeCell ref="X117:Y117"/>
    <mergeCell ref="Z105:AA105"/>
    <mergeCell ref="AB105:AC105"/>
    <mergeCell ref="G116:H116"/>
    <mergeCell ref="I116:J116"/>
    <mergeCell ref="K116:L116"/>
    <mergeCell ref="M116:N116"/>
    <mergeCell ref="V116:W116"/>
    <mergeCell ref="X116:Y116"/>
    <mergeCell ref="Z116:AA116"/>
    <mergeCell ref="G115:H115"/>
    <mergeCell ref="AD113:AE113"/>
    <mergeCell ref="AB117:AC117"/>
    <mergeCell ref="AB113:AC113"/>
    <mergeCell ref="AD125:AE125"/>
    <mergeCell ref="J119:L119"/>
    <mergeCell ref="AD117:AE117"/>
    <mergeCell ref="Z115:AA115"/>
    <mergeCell ref="AB115:AC115"/>
    <mergeCell ref="AD115:AE115"/>
    <mergeCell ref="J107:L107"/>
    <mergeCell ref="T113:U113"/>
    <mergeCell ref="T114:U114"/>
    <mergeCell ref="C122:G122"/>
    <mergeCell ref="G125:H125"/>
    <mergeCell ref="I125:J125"/>
    <mergeCell ref="K125:L125"/>
    <mergeCell ref="M125:N125"/>
    <mergeCell ref="V125:W125"/>
    <mergeCell ref="X125:Y125"/>
    <mergeCell ref="Z125:AA125"/>
    <mergeCell ref="I115:J115"/>
    <mergeCell ref="K115:L115"/>
    <mergeCell ref="M115:N115"/>
    <mergeCell ref="V115:W115"/>
    <mergeCell ref="X115:Y115"/>
    <mergeCell ref="Z117:AA117"/>
    <mergeCell ref="T115:U115"/>
    <mergeCell ref="T116:U116"/>
    <mergeCell ref="T117:U117"/>
    <mergeCell ref="AD129:AE129"/>
    <mergeCell ref="Z127:AA127"/>
    <mergeCell ref="AB127:AC127"/>
    <mergeCell ref="AD127:AE127"/>
    <mergeCell ref="G128:H128"/>
    <mergeCell ref="I128:J128"/>
    <mergeCell ref="K128:L128"/>
    <mergeCell ref="M128:N128"/>
    <mergeCell ref="V128:W128"/>
    <mergeCell ref="X128:Y128"/>
    <mergeCell ref="Z128:AA128"/>
    <mergeCell ref="G127:H127"/>
    <mergeCell ref="I127:J127"/>
    <mergeCell ref="K127:L127"/>
    <mergeCell ref="M127:N127"/>
    <mergeCell ref="V127:W127"/>
    <mergeCell ref="X127:Y127"/>
    <mergeCell ref="AB128:AC128"/>
    <mergeCell ref="G129:H129"/>
    <mergeCell ref="I129:J129"/>
    <mergeCell ref="K129:L129"/>
    <mergeCell ref="M129:N129"/>
    <mergeCell ref="V129:W129"/>
    <mergeCell ref="X129:Y129"/>
    <mergeCell ref="Z129:AA129"/>
    <mergeCell ref="AB129:AC129"/>
    <mergeCell ref="AB125:AC125"/>
    <mergeCell ref="AB138:AC138"/>
    <mergeCell ref="C134:G134"/>
    <mergeCell ref="G137:H137"/>
    <mergeCell ref="I137:J137"/>
    <mergeCell ref="K137:L137"/>
    <mergeCell ref="M137:N137"/>
    <mergeCell ref="V137:W137"/>
    <mergeCell ref="X137:Y137"/>
    <mergeCell ref="Z137:AA137"/>
    <mergeCell ref="G126:H126"/>
    <mergeCell ref="I126:J126"/>
    <mergeCell ref="K126:L126"/>
    <mergeCell ref="V126:W126"/>
    <mergeCell ref="X126:Y126"/>
    <mergeCell ref="Z126:AA126"/>
    <mergeCell ref="AB126:AC126"/>
    <mergeCell ref="T125:U125"/>
    <mergeCell ref="T126:U126"/>
    <mergeCell ref="T127:U127"/>
    <mergeCell ref="T128:U128"/>
    <mergeCell ref="AB141:AC141"/>
    <mergeCell ref="AB137:AC137"/>
    <mergeCell ref="AD141:AE141"/>
    <mergeCell ref="Z139:AA139"/>
    <mergeCell ref="AB139:AC139"/>
    <mergeCell ref="AD139:AE139"/>
    <mergeCell ref="G140:H140"/>
    <mergeCell ref="I140:J140"/>
    <mergeCell ref="K140:L140"/>
    <mergeCell ref="M140:N140"/>
    <mergeCell ref="V140:W140"/>
    <mergeCell ref="X140:Y140"/>
    <mergeCell ref="Z140:AA140"/>
    <mergeCell ref="G139:H139"/>
    <mergeCell ref="I139:J139"/>
    <mergeCell ref="K139:L139"/>
    <mergeCell ref="M139:N139"/>
    <mergeCell ref="V139:W139"/>
    <mergeCell ref="X139:Y139"/>
    <mergeCell ref="AB140:AC140"/>
    <mergeCell ref="AD137:AE137"/>
    <mergeCell ref="G138:H138"/>
    <mergeCell ref="I138:J138"/>
    <mergeCell ref="K138:L138"/>
    <mergeCell ref="C146:G146"/>
    <mergeCell ref="G149:H149"/>
    <mergeCell ref="I149:J149"/>
    <mergeCell ref="K149:L149"/>
    <mergeCell ref="M149:N149"/>
    <mergeCell ref="V149:W149"/>
    <mergeCell ref="X149:Y149"/>
    <mergeCell ref="Z149:AA149"/>
    <mergeCell ref="J131:L131"/>
    <mergeCell ref="G141:H141"/>
    <mergeCell ref="I141:J141"/>
    <mergeCell ref="K141:L141"/>
    <mergeCell ref="M141:N141"/>
    <mergeCell ref="V141:W141"/>
    <mergeCell ref="X141:Y141"/>
    <mergeCell ref="Z141:AA141"/>
    <mergeCell ref="V138:W138"/>
    <mergeCell ref="X138:Y138"/>
    <mergeCell ref="Z138:AA138"/>
    <mergeCell ref="I151:J151"/>
    <mergeCell ref="K151:L151"/>
    <mergeCell ref="M151:N151"/>
    <mergeCell ref="V151:W151"/>
    <mergeCell ref="X151:Y151"/>
    <mergeCell ref="AB149:AC149"/>
    <mergeCell ref="AD149:AE149"/>
    <mergeCell ref="G150:H150"/>
    <mergeCell ref="I150:J150"/>
    <mergeCell ref="K150:L150"/>
    <mergeCell ref="V150:W150"/>
    <mergeCell ref="X150:Y150"/>
    <mergeCell ref="Z150:AA150"/>
    <mergeCell ref="AB150:AC150"/>
    <mergeCell ref="T150:U150"/>
    <mergeCell ref="T151:U151"/>
    <mergeCell ref="M6:N6"/>
    <mergeCell ref="F4:G4"/>
    <mergeCell ref="AD153:AE153"/>
    <mergeCell ref="AB152:AC152"/>
    <mergeCell ref="G153:H153"/>
    <mergeCell ref="I153:J153"/>
    <mergeCell ref="K153:L153"/>
    <mergeCell ref="M153:N153"/>
    <mergeCell ref="V153:W153"/>
    <mergeCell ref="X153:Y153"/>
    <mergeCell ref="Z153:AA153"/>
    <mergeCell ref="AB153:AC153"/>
    <mergeCell ref="J143:L143"/>
    <mergeCell ref="Z151:AA151"/>
    <mergeCell ref="AB151:AC151"/>
    <mergeCell ref="AD151:AE151"/>
    <mergeCell ref="G152:H152"/>
    <mergeCell ref="I152:J152"/>
    <mergeCell ref="K152:L152"/>
    <mergeCell ref="M152:N152"/>
    <mergeCell ref="V152:W152"/>
    <mergeCell ref="X152:Y152"/>
    <mergeCell ref="Z152:AA152"/>
    <mergeCell ref="G151:H151"/>
    <mergeCell ref="T42:U42"/>
    <mergeCell ref="T43:U43"/>
    <mergeCell ref="T44:U44"/>
    <mergeCell ref="T45:U45"/>
    <mergeCell ref="T53:U53"/>
    <mergeCell ref="T17:U17"/>
    <mergeCell ref="T18:U18"/>
    <mergeCell ref="T19:U19"/>
    <mergeCell ref="T20:U20"/>
    <mergeCell ref="T21:U21"/>
    <mergeCell ref="T29:U29"/>
    <mergeCell ref="T30:U30"/>
    <mergeCell ref="T31:U31"/>
    <mergeCell ref="T32:U32"/>
    <mergeCell ref="T80:U80"/>
    <mergeCell ref="T81:U81"/>
    <mergeCell ref="T89:U89"/>
    <mergeCell ref="T54:U54"/>
    <mergeCell ref="T55:U55"/>
    <mergeCell ref="T56:U56"/>
    <mergeCell ref="T57:U57"/>
    <mergeCell ref="T65:U65"/>
    <mergeCell ref="T66:U66"/>
    <mergeCell ref="T67:U67"/>
    <mergeCell ref="T68:U68"/>
    <mergeCell ref="T152:U152"/>
    <mergeCell ref="T153:U153"/>
    <mergeCell ref="T6:AF7"/>
    <mergeCell ref="F8:G8"/>
    <mergeCell ref="L5:Q5"/>
    <mergeCell ref="T129:U129"/>
    <mergeCell ref="T137:U137"/>
    <mergeCell ref="T138:U138"/>
    <mergeCell ref="T139:U139"/>
    <mergeCell ref="T140:U140"/>
    <mergeCell ref="T141:U141"/>
    <mergeCell ref="T149:U149"/>
    <mergeCell ref="T91:U91"/>
    <mergeCell ref="T92:U92"/>
    <mergeCell ref="T93:U93"/>
    <mergeCell ref="T101:U101"/>
    <mergeCell ref="T102:U102"/>
    <mergeCell ref="T103:U103"/>
    <mergeCell ref="T104:U104"/>
    <mergeCell ref="T105:U105"/>
    <mergeCell ref="T69:U69"/>
    <mergeCell ref="T77:U77"/>
    <mergeCell ref="T78:U78"/>
    <mergeCell ref="T79:U79"/>
  </mergeCells>
  <conditionalFormatting sqref="H15:AE16 H27:AE28 H39:AE40 H51:AE52 H63:AE64 H75:AE76 H87:AE88 H99:AE100 H111:AE112 H123:AE124 H135:AE136 H147:AE148">
    <cfRule type="cellIs" dxfId="253" priority="131" stopIfTrue="1" operator="equal">
      <formula>"o"</formula>
    </cfRule>
    <cfRule type="cellIs" dxfId="252" priority="132" stopIfTrue="1" operator="equal">
      <formula>"p"</formula>
    </cfRule>
    <cfRule type="cellIs" dxfId="251" priority="133" stopIfTrue="1" operator="equal">
      <formula>"m"</formula>
    </cfRule>
  </conditionalFormatting>
  <conditionalFormatting sqref="H14:AE14 H146:AE146 H134:AE134 H26:AE26 H38:AE38 H50:AE50 H62:AE62 H74:AE74 H86:AE86 H98:AE98 H110:AE110 H122:AE122">
    <cfRule type="cellIs" dxfId="250" priority="130" operator="greaterThan">
      <formula>0</formula>
    </cfRule>
  </conditionalFormatting>
  <conditionalFormatting sqref="T3">
    <cfRule type="expression" dxfId="249" priority="2">
      <formula>OR($E$12&gt;$G$12,$E$24&gt;$G$24,$E$36&gt;$G$36,$E$48&gt;$G$48,$E$60&gt;$G$60,$E$72&gt;$G$72,$E$84&gt;$G$84,$E$96&gt;$G$96,$E$108&gt;$G$108,$E$120&gt;$G$120,$E$132&gt;$G$132,$E$144&gt;$G$144)</formula>
    </cfRule>
  </conditionalFormatting>
  <conditionalFormatting sqref="T2">
    <cfRule type="expression" dxfId="248" priority="457">
      <formula>AND(#REF!&gt;$S$12,#REF!&lt;$U$12)=FALSE</formula>
    </cfRule>
  </conditionalFormatting>
  <conditionalFormatting sqref="T2">
    <cfRule type="expression" dxfId="247" priority="458">
      <formula>NOT(AND($S$2&gt;$S$12,$S$2&lt;=$U$12))</formula>
    </cfRule>
  </conditionalFormatting>
  <conditionalFormatting sqref="B11">
    <cfRule type="expression" dxfId="246" priority="459">
      <formula>$V$19&gt;$U$12</formula>
    </cfRule>
    <cfRule type="expression" dxfId="245" priority="460">
      <formula>$G$12&lt;$E$12</formula>
    </cfRule>
  </conditionalFormatting>
  <conditionalFormatting sqref="B23">
    <cfRule type="expression" dxfId="244" priority="461">
      <formula>$V$31&gt;$U$24</formula>
    </cfRule>
    <cfRule type="expression" dxfId="243" priority="462">
      <formula>$G$24&lt;$E$24</formula>
    </cfRule>
  </conditionalFormatting>
  <conditionalFormatting sqref="B35">
    <cfRule type="expression" dxfId="242" priority="463">
      <formula>$V$43&gt;$U$36</formula>
    </cfRule>
    <cfRule type="expression" dxfId="241" priority="464">
      <formula>$G$36&lt;$E$36</formula>
    </cfRule>
  </conditionalFormatting>
  <conditionalFormatting sqref="B47">
    <cfRule type="expression" dxfId="240" priority="465">
      <formula>$V$55&gt;$U$48</formula>
    </cfRule>
    <cfRule type="expression" dxfId="239" priority="466">
      <formula>$G$48&lt;$E$48</formula>
    </cfRule>
  </conditionalFormatting>
  <conditionalFormatting sqref="B59">
    <cfRule type="expression" dxfId="238" priority="467">
      <formula>$V$67&gt;$U$60</formula>
    </cfRule>
    <cfRule type="expression" dxfId="237" priority="468">
      <formula>$G$60&lt;$E$60</formula>
    </cfRule>
  </conditionalFormatting>
  <conditionalFormatting sqref="B71">
    <cfRule type="expression" dxfId="236" priority="469">
      <formula>$V$79&gt;$U$72</formula>
    </cfRule>
    <cfRule type="expression" dxfId="235" priority="470">
      <formula>$G$72&lt;$E$72</formula>
    </cfRule>
  </conditionalFormatting>
  <conditionalFormatting sqref="B83">
    <cfRule type="expression" dxfId="234" priority="471">
      <formula>$V$91&gt;$U$84</formula>
    </cfRule>
    <cfRule type="expression" dxfId="233" priority="472">
      <formula>$G$84&lt;$E$84</formula>
    </cfRule>
  </conditionalFormatting>
  <conditionalFormatting sqref="B95">
    <cfRule type="expression" dxfId="232" priority="473">
      <formula>$V$103&gt;$U$96</formula>
    </cfRule>
    <cfRule type="expression" dxfId="231" priority="474">
      <formula>$G$96&lt;$E$96</formula>
    </cfRule>
  </conditionalFormatting>
  <conditionalFormatting sqref="B107">
    <cfRule type="expression" dxfId="230" priority="475">
      <formula>$V$115&gt;$U$108</formula>
    </cfRule>
    <cfRule type="expression" dxfId="229" priority="476">
      <formula>$G$108&lt;$E$108</formula>
    </cfRule>
  </conditionalFormatting>
  <conditionalFormatting sqref="B119">
    <cfRule type="expression" dxfId="228" priority="477">
      <formula>$V$127&gt;$U$120</formula>
    </cfRule>
    <cfRule type="expression" dxfId="227" priority="478">
      <formula>$G$120&lt;$E$120</formula>
    </cfRule>
  </conditionalFormatting>
  <conditionalFormatting sqref="B131">
    <cfRule type="expression" dxfId="226" priority="479">
      <formula>$V$139&gt;$U$132</formula>
    </cfRule>
    <cfRule type="expression" dxfId="225" priority="480">
      <formula>$G$132&lt;$E$132</formula>
    </cfRule>
  </conditionalFormatting>
  <conditionalFormatting sqref="B143">
    <cfRule type="expression" dxfId="224" priority="481">
      <formula>$V$151&gt;$U$144</formula>
    </cfRule>
    <cfRule type="expression" dxfId="223" priority="482">
      <formula>$G$144&lt;$E$144</formula>
    </cfRule>
  </conditionalFormatting>
  <conditionalFormatting sqref="F9:G9">
    <cfRule type="expression" dxfId="222" priority="1">
      <formula>$W$12="Subscription"</formula>
    </cfRule>
  </conditionalFormatting>
  <dataValidations count="1">
    <dataValidation type="whole" operator="greaterThan" allowBlank="1" showInputMessage="1" showErrorMessage="1" sqref="F6">
      <formula1>0</formula1>
    </dataValidation>
  </dataValidations>
  <printOptions horizontalCentered="1"/>
  <pageMargins left="0.25" right="0.25" top="0.75" bottom="0.75" header="0.3" footer="0.3"/>
  <pageSetup scale="62" fitToHeight="0" orientation="landscape" r:id="rId1"/>
  <headerFooter>
    <oddFooter>&amp;Z&amp;F</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Data!$Q$9:$Q$17</xm:f>
          </x14:formula1>
          <xm:sqref>J83 J11 J71 J35 J131 J23 J47 J95 J119 J59 J107 J143</xm:sqref>
        </x14:dataValidation>
        <x14:dataValidation type="list" allowBlank="1" showInputMessage="1" showErrorMessage="1">
          <x14:formula1>
            <xm:f>Data!$G$9:$G$16</xm:f>
          </x14:formula1>
          <xm:sqref>F4</xm:sqref>
        </x14:dataValidation>
        <x14:dataValidation type="list" allowBlank="1" showInputMessage="1" showErrorMessage="1">
          <x14:formula1>
            <xm:f>Data!$A$33:$A$78</xm:f>
          </x14:formula1>
          <xm:sqref>F3</xm:sqref>
        </x14:dataValidation>
        <x14:dataValidation type="list" allowBlank="1" showInputMessage="1" showErrorMessage="1">
          <x14:formula1>
            <xm:f>Data!$A$9:$A$25</xm:f>
          </x14:formula1>
          <xm:sqref>F5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CO93"/>
  <sheetViews>
    <sheetView topLeftCell="A40" zoomScaleNormal="100" workbookViewId="0">
      <selection activeCell="N9" sqref="N9"/>
    </sheetView>
  </sheetViews>
  <sheetFormatPr defaultRowHeight="15" x14ac:dyDescent="0.25"/>
  <cols>
    <col min="1" max="1" width="34.7109375" customWidth="1"/>
    <col min="2" max="2" width="9.5703125" customWidth="1"/>
    <col min="3" max="4" width="9.140625" customWidth="1"/>
    <col min="17" max="17" width="9.42578125" bestFit="1" customWidth="1"/>
    <col min="20" max="20" width="5.140625" customWidth="1"/>
    <col min="21" max="43" width="4.7109375" customWidth="1"/>
    <col min="44" max="71" width="4.5703125" customWidth="1"/>
    <col min="72" max="75" width="5.42578125" customWidth="1"/>
    <col min="76" max="76" width="3.28515625" customWidth="1"/>
    <col min="77" max="79" width="5.42578125" customWidth="1"/>
    <col min="81" max="81" width="23" customWidth="1"/>
    <col min="86" max="86" width="10" customWidth="1"/>
    <col min="87" max="87" width="10.140625" customWidth="1"/>
    <col min="88" max="89" width="9.85546875" customWidth="1"/>
    <col min="90" max="90" width="9.140625" customWidth="1"/>
    <col min="91" max="91" width="10.42578125" customWidth="1"/>
    <col min="92" max="92" width="11.28515625" customWidth="1"/>
    <col min="93" max="93" width="10.5703125" customWidth="1"/>
    <col min="94" max="94" width="11" customWidth="1"/>
  </cols>
  <sheetData>
    <row r="2" spans="1:84" x14ac:dyDescent="0.25">
      <c r="Q2" s="194" t="str">
        <f>+'Rate Calculator'!$F$3</f>
        <v>SMUD GS-TOU1 (Above 1000 kW)</v>
      </c>
      <c r="R2" s="195"/>
      <c r="S2" s="195"/>
      <c r="T2" s="196" t="str">
        <f>VLOOKUP($Q2,Data!$A$33:$BM$78,R32,FALSE)</f>
        <v>m</v>
      </c>
      <c r="U2" s="197" t="str">
        <f>VLOOKUP($Q2,Data!$A$33:$BM$78,S32,FALSE)</f>
        <v>m</v>
      </c>
      <c r="V2" s="197" t="str">
        <f>VLOOKUP($Q2,Data!$A$33:$BM$78,T32,FALSE)</f>
        <v>p</v>
      </c>
      <c r="W2" s="197" t="str">
        <f>VLOOKUP($Q2,Data!$A$33:$BM$78,U32,FALSE)</f>
        <v>p</v>
      </c>
      <c r="X2" s="197" t="str">
        <f>VLOOKUP($Q2,Data!$A$33:$BM$78,V32,FALSE)</f>
        <v>p</v>
      </c>
      <c r="Y2" s="197" t="str">
        <f>VLOOKUP($Q2,Data!$A$33:$BM$78,W32,FALSE)</f>
        <v>p</v>
      </c>
      <c r="Z2" s="197" t="str">
        <f>VLOOKUP($Q2,Data!$A$33:$BM$78,X32,FALSE)</f>
        <v>p</v>
      </c>
      <c r="AA2" s="197" t="str">
        <f>VLOOKUP($Q2,Data!$A$33:$BM$78,Y32,FALSE)</f>
        <v>p</v>
      </c>
      <c r="AB2" s="197" t="str">
        <f>VLOOKUP($Q2,Data!$A$33:$BM$78,Z32,FALSE)</f>
        <v>m</v>
      </c>
      <c r="AC2" s="197" t="str">
        <f>VLOOKUP($Q2,Data!$A$33:$BM$78,AA32,FALSE)</f>
        <v>m</v>
      </c>
      <c r="AD2" s="197" t="str">
        <f>VLOOKUP($Q2,Data!$A$33:$BM$78,AB32,FALSE)</f>
        <v>o</v>
      </c>
      <c r="AE2" s="197" t="str">
        <f>VLOOKUP($Q2,Data!$A$33:$BM$78,AC32,FALSE)</f>
        <v>o</v>
      </c>
      <c r="AF2" s="197" t="str">
        <f>VLOOKUP($Q2,Data!$A$33:$BM$78,AD32,FALSE)</f>
        <v>o</v>
      </c>
      <c r="AG2" s="197" t="str">
        <f>VLOOKUP($Q2,Data!$A$33:$BM$78,AE32,FALSE)</f>
        <v>o</v>
      </c>
      <c r="AH2" s="197" t="str">
        <f>VLOOKUP($Q2,Data!$A$33:$BM$78,AF32,FALSE)</f>
        <v>o</v>
      </c>
      <c r="AI2" s="197" t="str">
        <f>VLOOKUP($Q2,Data!$A$33:$BM$78,AG32,FALSE)</f>
        <v>o</v>
      </c>
      <c r="AJ2" s="197" t="str">
        <f>VLOOKUP($Q2,Data!$A$33:$BM$78,AH32,FALSE)</f>
        <v>o</v>
      </c>
      <c r="AK2" s="197" t="str">
        <f>VLOOKUP($Q2,Data!$A$33:$BM$78,AI32,FALSE)</f>
        <v>o</v>
      </c>
      <c r="AL2" s="197" t="str">
        <f>VLOOKUP($Q2,Data!$A$33:$BM$78,AJ32,FALSE)</f>
        <v>o</v>
      </c>
      <c r="AM2" s="197" t="str">
        <f>VLOOKUP($Q2,Data!$A$33:$BM$78,AK32,FALSE)</f>
        <v>o</v>
      </c>
      <c r="AN2" s="197" t="str">
        <f>VLOOKUP($Q2,Data!$A$33:$BM$78,AL32,FALSE)</f>
        <v>o</v>
      </c>
      <c r="AO2" s="197" t="str">
        <f>VLOOKUP($Q2,Data!$A$33:$BM$78,AM32,FALSE)</f>
        <v>o</v>
      </c>
      <c r="AP2" s="197" t="str">
        <f>VLOOKUP($Q2,Data!$A$33:$BM$78,AN32,FALSE)</f>
        <v>o</v>
      </c>
      <c r="AQ2" s="197" t="str">
        <f>VLOOKUP($Q2,Data!$A$33:$BM$78,AO32,FALSE)</f>
        <v>o</v>
      </c>
      <c r="AR2" s="196" t="str">
        <f>VLOOKUP($Q2,Data!$A$33:$BM$78,AP32,FALSE)</f>
        <v>m</v>
      </c>
      <c r="AS2" s="197" t="str">
        <f>VLOOKUP($Q2,Data!$A$33:$BM$78,AQ32,FALSE)</f>
        <v>m</v>
      </c>
      <c r="AT2" s="197" t="str">
        <f>VLOOKUP($Q2,Data!$A$33:$BM$78,AR32,FALSE)</f>
        <v>m</v>
      </c>
      <c r="AU2" s="197" t="str">
        <f>VLOOKUP($Q2,Data!$A$33:$BM$78,AS32,FALSE)</f>
        <v>m</v>
      </c>
      <c r="AV2" s="197" t="str">
        <f>VLOOKUP($Q2,Data!$A$33:$BM$78,AT32,FALSE)</f>
        <v>m</v>
      </c>
      <c r="AW2" s="197" t="str">
        <f>VLOOKUP($Q2,Data!$A$33:$BM$78,AU32,FALSE)</f>
        <v>m</v>
      </c>
      <c r="AX2" s="197" t="str">
        <f>VLOOKUP($Q2,Data!$A$33:$BM$78,AV32,FALSE)</f>
        <v>m</v>
      </c>
      <c r="AY2" s="197" t="str">
        <f>VLOOKUP($Q2,Data!$A$33:$BM$78,AW32,FALSE)</f>
        <v>m</v>
      </c>
      <c r="AZ2" s="197" t="str">
        <f>VLOOKUP($Q2,Data!$A$33:$BM$78,AX32,FALSE)</f>
        <v>m</v>
      </c>
      <c r="BA2" s="197" t="str">
        <f>VLOOKUP($Q2,Data!$A$33:$BM$78,AY32,FALSE)</f>
        <v>m</v>
      </c>
      <c r="BB2" s="197" t="str">
        <f>VLOOKUP($Q2,Data!$A$33:$BM$78,AZ32,FALSE)</f>
        <v>o</v>
      </c>
      <c r="BC2" s="197" t="str">
        <f>VLOOKUP($Q2,Data!$A$33:$BM$78,BA32,FALSE)</f>
        <v>o</v>
      </c>
      <c r="BD2" s="197" t="str">
        <f>VLOOKUP($Q2,Data!$A$33:$BM$78,BB32,FALSE)</f>
        <v>o</v>
      </c>
      <c r="BE2" s="197" t="str">
        <f>VLOOKUP($Q2,Data!$A$33:$BM$78,BC32,FALSE)</f>
        <v>o</v>
      </c>
      <c r="BF2" s="197" t="str">
        <f>VLOOKUP($Q2,Data!$A$33:$BM$78,BD32,FALSE)</f>
        <v>o</v>
      </c>
      <c r="BG2" s="197" t="str">
        <f>VLOOKUP($Q2,Data!$A$33:$BM$78,BE32,FALSE)</f>
        <v>o</v>
      </c>
      <c r="BH2" s="197" t="str">
        <f>VLOOKUP($Q2,Data!$A$33:$BM$78,BF32,FALSE)</f>
        <v>o</v>
      </c>
      <c r="BI2" s="197" t="str">
        <f>VLOOKUP($Q2,Data!$A$33:$BM$78,BG32,FALSE)</f>
        <v>o</v>
      </c>
      <c r="BJ2" s="197" t="str">
        <f>VLOOKUP($Q2,Data!$A$33:$BM$78,BH32,FALSE)</f>
        <v>o</v>
      </c>
      <c r="BK2" s="197" t="str">
        <f>VLOOKUP($Q2,Data!$A$33:$BM$78,BI32,FALSE)</f>
        <v>o</v>
      </c>
      <c r="BL2" s="197" t="str">
        <f>VLOOKUP($Q2,Data!$A$33:$BM$78,BJ32,FALSE)</f>
        <v>o</v>
      </c>
      <c r="BM2" s="197" t="str">
        <f>VLOOKUP($Q2,Data!$A$33:$BM$78,BK32,FALSE)</f>
        <v>o</v>
      </c>
      <c r="BN2" s="197" t="str">
        <f>VLOOKUP($Q2,Data!$A$33:$BM$78,BL32,FALSE)</f>
        <v>o</v>
      </c>
      <c r="BO2" s="198" t="str">
        <f>VLOOKUP($Q2,Data!$A$33:$BM$78,BM32,FALSE)</f>
        <v>o</v>
      </c>
    </row>
    <row r="3" spans="1:84" x14ac:dyDescent="0.25">
      <c r="Q3" s="82" t="s">
        <v>231</v>
      </c>
    </row>
    <row r="5" spans="1:84" x14ac:dyDescent="0.25">
      <c r="J5" s="1"/>
      <c r="T5" s="208" t="s">
        <v>261</v>
      </c>
      <c r="U5" s="209"/>
      <c r="V5" s="209"/>
      <c r="W5" s="209"/>
      <c r="X5" s="209"/>
      <c r="Y5" s="209"/>
      <c r="Z5" s="209"/>
      <c r="AA5" s="209"/>
      <c r="AB5" s="209"/>
      <c r="AC5" s="209"/>
      <c r="AD5" s="209"/>
      <c r="AE5" s="209"/>
      <c r="AF5" s="209"/>
      <c r="AG5" s="209"/>
      <c r="AH5" s="209"/>
      <c r="AI5" s="209"/>
      <c r="AJ5" s="209"/>
      <c r="AK5" s="209"/>
      <c r="AL5" s="209"/>
      <c r="AM5" s="209"/>
      <c r="AN5" s="209"/>
      <c r="AO5" s="209"/>
      <c r="AP5" s="209"/>
      <c r="AQ5" s="210"/>
      <c r="AR5" s="208" t="s">
        <v>262</v>
      </c>
      <c r="AS5" s="209"/>
      <c r="AT5" s="209"/>
      <c r="AU5" s="209"/>
      <c r="AV5" s="209"/>
      <c r="AW5" s="209"/>
      <c r="AX5" s="209"/>
      <c r="AY5" s="209"/>
      <c r="AZ5" s="209"/>
      <c r="BA5" s="209"/>
      <c r="BB5" s="209"/>
      <c r="BC5" s="209"/>
      <c r="BD5" s="209"/>
      <c r="BE5" s="209"/>
      <c r="BF5" s="209"/>
      <c r="BG5" s="209"/>
      <c r="BH5" s="209"/>
      <c r="BI5" s="209"/>
      <c r="BJ5" s="209"/>
      <c r="BK5" s="209"/>
      <c r="BL5" s="209"/>
      <c r="BM5" s="209"/>
      <c r="BN5" s="209"/>
      <c r="BO5" s="210"/>
    </row>
    <row r="6" spans="1:84" x14ac:dyDescent="0.25">
      <c r="A6" s="228" t="s">
        <v>128</v>
      </c>
      <c r="B6" s="229"/>
      <c r="G6" s="34" t="s">
        <v>134</v>
      </c>
      <c r="H6" s="59"/>
      <c r="I6" s="16" t="s">
        <v>58</v>
      </c>
      <c r="J6" s="16" t="s">
        <v>110</v>
      </c>
      <c r="K6" s="26" t="s">
        <v>112</v>
      </c>
      <c r="L6" s="26" t="s">
        <v>114</v>
      </c>
      <c r="Q6" s="58" t="s">
        <v>230</v>
      </c>
      <c r="R6" s="59"/>
      <c r="S6" s="199" t="s">
        <v>233</v>
      </c>
      <c r="T6" s="200" t="s">
        <v>236</v>
      </c>
      <c r="U6" s="202" t="s">
        <v>237</v>
      </c>
      <c r="V6" s="200" t="s">
        <v>238</v>
      </c>
      <c r="W6" s="202" t="s">
        <v>239</v>
      </c>
      <c r="X6" s="200" t="s">
        <v>240</v>
      </c>
      <c r="Y6" s="202" t="s">
        <v>241</v>
      </c>
      <c r="Z6" s="200" t="s">
        <v>242</v>
      </c>
      <c r="AA6" s="202" t="s">
        <v>243</v>
      </c>
      <c r="AB6" s="200" t="s">
        <v>244</v>
      </c>
      <c r="AC6" s="202" t="s">
        <v>245</v>
      </c>
      <c r="AD6" s="200" t="s">
        <v>246</v>
      </c>
      <c r="AE6" s="202" t="s">
        <v>247</v>
      </c>
      <c r="AF6" s="200" t="s">
        <v>248</v>
      </c>
      <c r="AG6" s="202" t="s">
        <v>249</v>
      </c>
      <c r="AH6" s="200" t="s">
        <v>250</v>
      </c>
      <c r="AI6" s="202" t="s">
        <v>251</v>
      </c>
      <c r="AJ6" s="200" t="s">
        <v>252</v>
      </c>
      <c r="AK6" s="202" t="s">
        <v>253</v>
      </c>
      <c r="AL6" s="200" t="s">
        <v>254</v>
      </c>
      <c r="AM6" s="202" t="s">
        <v>255</v>
      </c>
      <c r="AN6" s="200" t="s">
        <v>256</v>
      </c>
      <c r="AO6" s="202" t="s">
        <v>257</v>
      </c>
      <c r="AP6" s="200" t="s">
        <v>258</v>
      </c>
      <c r="AQ6" s="203" t="s">
        <v>259</v>
      </c>
      <c r="AR6" s="200" t="s">
        <v>236</v>
      </c>
      <c r="AS6" s="202" t="s">
        <v>237</v>
      </c>
      <c r="AT6" s="200" t="s">
        <v>238</v>
      </c>
      <c r="AU6" s="202" t="s">
        <v>239</v>
      </c>
      <c r="AV6" s="200" t="s">
        <v>240</v>
      </c>
      <c r="AW6" s="202" t="s">
        <v>241</v>
      </c>
      <c r="AX6" s="200" t="s">
        <v>242</v>
      </c>
      <c r="AY6" s="202" t="s">
        <v>243</v>
      </c>
      <c r="AZ6" s="200" t="s">
        <v>244</v>
      </c>
      <c r="BA6" s="202" t="s">
        <v>245</v>
      </c>
      <c r="BB6" s="200" t="s">
        <v>246</v>
      </c>
      <c r="BC6" s="202" t="s">
        <v>247</v>
      </c>
      <c r="BD6" s="200" t="s">
        <v>248</v>
      </c>
      <c r="BE6" s="202" t="s">
        <v>249</v>
      </c>
      <c r="BF6" s="200" t="s">
        <v>250</v>
      </c>
      <c r="BG6" s="202" t="s">
        <v>251</v>
      </c>
      <c r="BH6" s="200" t="s">
        <v>252</v>
      </c>
      <c r="BI6" s="202" t="s">
        <v>253</v>
      </c>
      <c r="BJ6" s="200" t="s">
        <v>254</v>
      </c>
      <c r="BK6" s="202" t="s">
        <v>255</v>
      </c>
      <c r="BL6" s="200" t="s">
        <v>256</v>
      </c>
      <c r="BM6" s="202" t="s">
        <v>257</v>
      </c>
      <c r="BN6" s="200" t="s">
        <v>258</v>
      </c>
      <c r="BO6" s="203" t="s">
        <v>259</v>
      </c>
      <c r="BP6" s="38" t="s">
        <v>0</v>
      </c>
      <c r="BQ6" s="82" t="s">
        <v>1</v>
      </c>
      <c r="BR6" s="52"/>
      <c r="BS6" s="1"/>
      <c r="BT6" s="1"/>
      <c r="BU6" s="1"/>
      <c r="BV6" s="1"/>
      <c r="BW6" s="1"/>
      <c r="BX6" s="1"/>
      <c r="BY6" s="1"/>
      <c r="BZ6" s="1"/>
      <c r="CA6" s="1"/>
      <c r="CE6" s="40"/>
    </row>
    <row r="7" spans="1:84" x14ac:dyDescent="0.25">
      <c r="A7" s="57" t="s">
        <v>13</v>
      </c>
      <c r="B7" s="150" t="s">
        <v>66</v>
      </c>
      <c r="G7" s="57" t="s">
        <v>13</v>
      </c>
      <c r="H7" s="60"/>
      <c r="I7" s="53" t="s">
        <v>124</v>
      </c>
      <c r="J7" s="53" t="s">
        <v>111</v>
      </c>
      <c r="K7" s="27" t="s">
        <v>113</v>
      </c>
      <c r="L7" s="27" t="s">
        <v>118</v>
      </c>
      <c r="O7" s="1"/>
      <c r="P7" s="1"/>
      <c r="Q7" s="206" t="s">
        <v>232</v>
      </c>
      <c r="R7" s="60"/>
      <c r="S7" s="207" t="s">
        <v>234</v>
      </c>
      <c r="T7" s="201" t="s">
        <v>237</v>
      </c>
      <c r="U7" s="204" t="s">
        <v>238</v>
      </c>
      <c r="V7" s="201" t="s">
        <v>239</v>
      </c>
      <c r="W7" s="204" t="s">
        <v>240</v>
      </c>
      <c r="X7" s="201" t="s">
        <v>241</v>
      </c>
      <c r="Y7" s="204" t="s">
        <v>242</v>
      </c>
      <c r="Z7" s="201" t="s">
        <v>243</v>
      </c>
      <c r="AA7" s="204" t="s">
        <v>244</v>
      </c>
      <c r="AB7" s="201" t="s">
        <v>245</v>
      </c>
      <c r="AC7" s="204" t="s">
        <v>246</v>
      </c>
      <c r="AD7" s="201" t="s">
        <v>247</v>
      </c>
      <c r="AE7" s="204" t="s">
        <v>248</v>
      </c>
      <c r="AF7" s="201" t="s">
        <v>249</v>
      </c>
      <c r="AG7" s="204" t="s">
        <v>250</v>
      </c>
      <c r="AH7" s="201" t="s">
        <v>251</v>
      </c>
      <c r="AI7" s="204" t="s">
        <v>252</v>
      </c>
      <c r="AJ7" s="201" t="s">
        <v>253</v>
      </c>
      <c r="AK7" s="204" t="s">
        <v>254</v>
      </c>
      <c r="AL7" s="201" t="s">
        <v>255</v>
      </c>
      <c r="AM7" s="204" t="s">
        <v>256</v>
      </c>
      <c r="AN7" s="201" t="s">
        <v>257</v>
      </c>
      <c r="AO7" s="204" t="s">
        <v>258</v>
      </c>
      <c r="AP7" s="201" t="s">
        <v>259</v>
      </c>
      <c r="AQ7" s="205" t="s">
        <v>236</v>
      </c>
      <c r="AR7" s="201" t="s">
        <v>237</v>
      </c>
      <c r="AS7" s="204" t="s">
        <v>238</v>
      </c>
      <c r="AT7" s="201" t="s">
        <v>239</v>
      </c>
      <c r="AU7" s="204" t="s">
        <v>240</v>
      </c>
      <c r="AV7" s="201" t="s">
        <v>241</v>
      </c>
      <c r="AW7" s="204" t="s">
        <v>242</v>
      </c>
      <c r="AX7" s="201" t="s">
        <v>243</v>
      </c>
      <c r="AY7" s="204" t="s">
        <v>244</v>
      </c>
      <c r="AZ7" s="201" t="s">
        <v>245</v>
      </c>
      <c r="BA7" s="204" t="s">
        <v>246</v>
      </c>
      <c r="BB7" s="201" t="s">
        <v>247</v>
      </c>
      <c r="BC7" s="204" t="s">
        <v>248</v>
      </c>
      <c r="BD7" s="201" t="s">
        <v>249</v>
      </c>
      <c r="BE7" s="204" t="s">
        <v>250</v>
      </c>
      <c r="BF7" s="201" t="s">
        <v>251</v>
      </c>
      <c r="BG7" s="204" t="s">
        <v>252</v>
      </c>
      <c r="BH7" s="201" t="s">
        <v>253</v>
      </c>
      <c r="BI7" s="204" t="s">
        <v>254</v>
      </c>
      <c r="BJ7" s="201" t="s">
        <v>255</v>
      </c>
      <c r="BK7" s="204" t="s">
        <v>256</v>
      </c>
      <c r="BL7" s="201" t="s">
        <v>257</v>
      </c>
      <c r="BM7" s="204" t="s">
        <v>258</v>
      </c>
      <c r="BN7" s="201" t="s">
        <v>259</v>
      </c>
      <c r="BO7" s="205" t="s">
        <v>236</v>
      </c>
      <c r="BP7" s="39" t="s">
        <v>135</v>
      </c>
      <c r="BQ7" s="39" t="s">
        <v>135</v>
      </c>
      <c r="BR7" s="39"/>
      <c r="BS7" s="3"/>
      <c r="BT7" s="48"/>
      <c r="BU7" s="48"/>
      <c r="BV7" s="48"/>
      <c r="BW7" s="1"/>
      <c r="BX7" s="47"/>
      <c r="BY7" s="47"/>
      <c r="BZ7" s="47"/>
      <c r="CA7" s="47"/>
      <c r="CC7" s="1"/>
      <c r="CD7" s="1"/>
      <c r="CF7" s="1"/>
    </row>
    <row r="8" spans="1:84" ht="2.25" customHeight="1" x14ac:dyDescent="0.25">
      <c r="A8" s="77" t="s">
        <v>106</v>
      </c>
      <c r="B8" s="78">
        <v>2</v>
      </c>
      <c r="G8" s="77" t="s">
        <v>106</v>
      </c>
      <c r="H8" s="77"/>
      <c r="I8" s="78">
        <v>3</v>
      </c>
      <c r="J8" s="78">
        <f>+I8+1</f>
        <v>4</v>
      </c>
      <c r="K8" s="78">
        <f>+J8+1</f>
        <v>5</v>
      </c>
      <c r="L8" s="78">
        <f>+K8+1</f>
        <v>6</v>
      </c>
      <c r="Q8" s="77" t="s">
        <v>106</v>
      </c>
      <c r="R8" s="77"/>
      <c r="S8" s="77"/>
      <c r="T8" s="78">
        <v>4</v>
      </c>
      <c r="U8" s="78">
        <v>5</v>
      </c>
      <c r="V8" s="78">
        <v>6</v>
      </c>
      <c r="W8" s="78">
        <v>7</v>
      </c>
      <c r="X8" s="78">
        <v>8</v>
      </c>
      <c r="Y8" s="78">
        <v>9</v>
      </c>
      <c r="Z8" s="78">
        <v>10</v>
      </c>
      <c r="AA8" s="78">
        <v>11</v>
      </c>
      <c r="AB8" s="78">
        <v>12</v>
      </c>
      <c r="AC8" s="78">
        <v>13</v>
      </c>
      <c r="AD8" s="78">
        <v>14</v>
      </c>
      <c r="AE8" s="78">
        <v>15</v>
      </c>
      <c r="AF8" s="78">
        <v>16</v>
      </c>
      <c r="AG8" s="78">
        <v>17</v>
      </c>
      <c r="AH8" s="78">
        <v>18</v>
      </c>
      <c r="AI8" s="78">
        <v>19</v>
      </c>
      <c r="AJ8" s="78">
        <v>20</v>
      </c>
      <c r="AK8" s="78">
        <v>21</v>
      </c>
      <c r="AL8" s="78">
        <v>22</v>
      </c>
      <c r="AM8" s="78">
        <v>23</v>
      </c>
      <c r="AN8" s="78">
        <v>24</v>
      </c>
      <c r="AO8" s="78">
        <v>25</v>
      </c>
      <c r="AP8" s="78">
        <v>26</v>
      </c>
      <c r="AQ8" s="78">
        <v>27</v>
      </c>
      <c r="AR8" s="78">
        <v>28</v>
      </c>
      <c r="AS8" s="78">
        <v>29</v>
      </c>
      <c r="AT8" s="78">
        <v>30</v>
      </c>
      <c r="AU8" s="78">
        <v>31</v>
      </c>
      <c r="AV8" s="78">
        <v>32</v>
      </c>
      <c r="AW8" s="78">
        <v>33</v>
      </c>
      <c r="AX8" s="78">
        <v>34</v>
      </c>
      <c r="AY8" s="78">
        <v>35</v>
      </c>
      <c r="AZ8" s="78">
        <v>36</v>
      </c>
      <c r="BA8" s="78">
        <v>37</v>
      </c>
      <c r="BB8" s="78">
        <v>38</v>
      </c>
      <c r="BC8" s="78">
        <v>39</v>
      </c>
      <c r="BD8" s="78">
        <v>40</v>
      </c>
      <c r="BE8" s="78">
        <v>41</v>
      </c>
      <c r="BF8" s="78">
        <v>42</v>
      </c>
      <c r="BG8" s="78">
        <v>43</v>
      </c>
      <c r="BH8" s="78">
        <v>44</v>
      </c>
      <c r="BI8" s="78">
        <v>45</v>
      </c>
      <c r="BJ8" s="78">
        <v>46</v>
      </c>
      <c r="BK8" s="78">
        <v>47</v>
      </c>
      <c r="BL8" s="78">
        <v>48</v>
      </c>
      <c r="BM8" s="78">
        <v>49</v>
      </c>
      <c r="BN8" s="78">
        <v>50</v>
      </c>
      <c r="BO8" s="78">
        <v>51</v>
      </c>
      <c r="BP8" s="78">
        <v>52</v>
      </c>
      <c r="BQ8" s="78">
        <v>53</v>
      </c>
      <c r="BR8" s="39"/>
      <c r="BT8" s="39"/>
      <c r="BU8" s="39"/>
      <c r="BV8" s="39"/>
      <c r="BW8" s="61"/>
      <c r="BX8" s="47"/>
      <c r="BY8" s="39"/>
      <c r="BZ8" s="39"/>
      <c r="CA8" s="39"/>
    </row>
    <row r="9" spans="1:84" x14ac:dyDescent="0.25">
      <c r="A9" s="1" t="s">
        <v>300</v>
      </c>
      <c r="B9" s="1">
        <v>10</v>
      </c>
      <c r="G9" s="1" t="s">
        <v>263</v>
      </c>
      <c r="I9" s="2">
        <v>1</v>
      </c>
      <c r="J9" s="79">
        <v>1</v>
      </c>
      <c r="K9">
        <v>15</v>
      </c>
      <c r="L9" s="40" t="s">
        <v>115</v>
      </c>
      <c r="O9" s="1"/>
      <c r="P9" s="1"/>
      <c r="Q9" s="301" t="s">
        <v>342</v>
      </c>
      <c r="R9" s="302"/>
      <c r="S9" s="302"/>
      <c r="T9" s="110">
        <v>1</v>
      </c>
      <c r="U9" s="110">
        <v>1</v>
      </c>
      <c r="V9" s="110">
        <v>1</v>
      </c>
      <c r="W9" s="110">
        <v>1</v>
      </c>
      <c r="X9" s="110">
        <v>1</v>
      </c>
      <c r="Y9" s="110">
        <v>1</v>
      </c>
      <c r="Z9" s="110">
        <v>1</v>
      </c>
      <c r="AA9" s="110">
        <v>1</v>
      </c>
      <c r="AB9" s="110">
        <v>1</v>
      </c>
      <c r="AC9" s="110">
        <v>1</v>
      </c>
      <c r="AD9" s="110">
        <v>0</v>
      </c>
      <c r="AE9" s="110">
        <v>0</v>
      </c>
      <c r="AF9" s="110">
        <v>0</v>
      </c>
      <c r="AG9" s="110">
        <v>0</v>
      </c>
      <c r="AH9" s="110">
        <v>0</v>
      </c>
      <c r="AI9" s="110">
        <v>0</v>
      </c>
      <c r="AJ9" s="110">
        <v>0</v>
      </c>
      <c r="AK9" s="110">
        <v>0</v>
      </c>
      <c r="AL9" s="110">
        <v>1</v>
      </c>
      <c r="AM9" s="110">
        <v>1</v>
      </c>
      <c r="AN9" s="110">
        <v>1</v>
      </c>
      <c r="AO9" s="110">
        <v>1</v>
      </c>
      <c r="AP9" s="110">
        <v>1</v>
      </c>
      <c r="AQ9" s="110">
        <v>1</v>
      </c>
      <c r="AR9" s="163">
        <f t="shared" ref="AR9:AR14" si="0">+T9</f>
        <v>1</v>
      </c>
      <c r="AS9" s="110">
        <f t="shared" ref="AS9:BO13" si="1">+U9</f>
        <v>1</v>
      </c>
      <c r="AT9" s="110">
        <f t="shared" si="1"/>
        <v>1</v>
      </c>
      <c r="AU9" s="110">
        <f t="shared" si="1"/>
        <v>1</v>
      </c>
      <c r="AV9" s="110">
        <f t="shared" si="1"/>
        <v>1</v>
      </c>
      <c r="AW9" s="110">
        <f t="shared" si="1"/>
        <v>1</v>
      </c>
      <c r="AX9" s="110">
        <f t="shared" si="1"/>
        <v>1</v>
      </c>
      <c r="AY9" s="110">
        <f t="shared" si="1"/>
        <v>1</v>
      </c>
      <c r="AZ9" s="110">
        <f t="shared" si="1"/>
        <v>1</v>
      </c>
      <c r="BA9" s="110">
        <f t="shared" si="1"/>
        <v>1</v>
      </c>
      <c r="BB9" s="110">
        <f t="shared" si="1"/>
        <v>0</v>
      </c>
      <c r="BC9" s="110">
        <f t="shared" si="1"/>
        <v>0</v>
      </c>
      <c r="BD9" s="110">
        <f t="shared" si="1"/>
        <v>0</v>
      </c>
      <c r="BE9" s="110">
        <f t="shared" si="1"/>
        <v>0</v>
      </c>
      <c r="BF9" s="110">
        <f t="shared" si="1"/>
        <v>0</v>
      </c>
      <c r="BG9" s="110">
        <f t="shared" si="1"/>
        <v>0</v>
      </c>
      <c r="BH9" s="110">
        <f t="shared" si="1"/>
        <v>0</v>
      </c>
      <c r="BI9" s="110">
        <f t="shared" si="1"/>
        <v>0</v>
      </c>
      <c r="BJ9" s="110">
        <f t="shared" si="1"/>
        <v>1</v>
      </c>
      <c r="BK9" s="110">
        <f t="shared" si="1"/>
        <v>1</v>
      </c>
      <c r="BL9" s="110">
        <f t="shared" si="1"/>
        <v>1</v>
      </c>
      <c r="BM9" s="110">
        <f t="shared" si="1"/>
        <v>1</v>
      </c>
      <c r="BN9" s="110">
        <f t="shared" si="1"/>
        <v>1</v>
      </c>
      <c r="BO9" s="110">
        <f t="shared" si="1"/>
        <v>1</v>
      </c>
      <c r="BP9" s="104">
        <f t="shared" ref="BP9:BP17" si="2">+SUM(T9:AQ9)</f>
        <v>16</v>
      </c>
      <c r="BQ9" s="104">
        <f t="shared" ref="BQ9:BQ17" si="3">+SUM(AR9:BO9)</f>
        <v>16</v>
      </c>
      <c r="BR9" s="39"/>
      <c r="BT9" s="39"/>
      <c r="BU9" s="39"/>
      <c r="BV9" s="39"/>
      <c r="BW9" s="61"/>
      <c r="BX9" s="47"/>
      <c r="BY9" s="39"/>
      <c r="BZ9" s="39"/>
      <c r="CA9" s="39"/>
      <c r="CC9" s="1"/>
      <c r="CD9" s="1"/>
      <c r="CF9" s="1"/>
    </row>
    <row r="10" spans="1:84" x14ac:dyDescent="0.25">
      <c r="A10" s="1" t="s">
        <v>299</v>
      </c>
      <c r="B10" s="1">
        <v>19</v>
      </c>
      <c r="G10" s="1" t="s">
        <v>264</v>
      </c>
      <c r="I10" s="2">
        <v>1</v>
      </c>
      <c r="J10" s="79">
        <v>1</v>
      </c>
      <c r="K10">
        <v>15</v>
      </c>
      <c r="L10" s="80">
        <v>1</v>
      </c>
      <c r="O10" s="1"/>
      <c r="P10" s="1"/>
      <c r="Q10" s="301" t="s">
        <v>343</v>
      </c>
      <c r="R10" s="302"/>
      <c r="S10" s="302"/>
      <c r="T10" s="110">
        <v>0</v>
      </c>
      <c r="U10" s="110">
        <v>0</v>
      </c>
      <c r="V10" s="110">
        <v>0</v>
      </c>
      <c r="W10" s="110">
        <v>0</v>
      </c>
      <c r="X10" s="110">
        <v>0</v>
      </c>
      <c r="Y10" s="110">
        <v>0</v>
      </c>
      <c r="Z10" s="110">
        <v>0</v>
      </c>
      <c r="AA10" s="110">
        <v>1</v>
      </c>
      <c r="AB10" s="110">
        <v>1</v>
      </c>
      <c r="AC10" s="110">
        <v>1</v>
      </c>
      <c r="AD10" s="110">
        <v>1</v>
      </c>
      <c r="AE10" s="110">
        <v>1</v>
      </c>
      <c r="AF10" s="110">
        <v>1</v>
      </c>
      <c r="AG10" s="110">
        <v>1</v>
      </c>
      <c r="AH10" s="110">
        <v>1</v>
      </c>
      <c r="AI10" s="110">
        <v>1</v>
      </c>
      <c r="AJ10" s="110">
        <v>1</v>
      </c>
      <c r="AK10" s="110">
        <v>1</v>
      </c>
      <c r="AL10" s="110">
        <v>0</v>
      </c>
      <c r="AM10" s="110">
        <v>0</v>
      </c>
      <c r="AN10" s="110">
        <v>0</v>
      </c>
      <c r="AO10" s="110">
        <v>0</v>
      </c>
      <c r="AP10" s="110">
        <v>0</v>
      </c>
      <c r="AQ10" s="110">
        <v>0</v>
      </c>
      <c r="AR10" s="163">
        <f t="shared" si="0"/>
        <v>0</v>
      </c>
      <c r="AS10" s="110">
        <f t="shared" si="1"/>
        <v>0</v>
      </c>
      <c r="AT10" s="110">
        <f t="shared" si="1"/>
        <v>0</v>
      </c>
      <c r="AU10" s="110">
        <f t="shared" si="1"/>
        <v>0</v>
      </c>
      <c r="AV10" s="110">
        <f t="shared" si="1"/>
        <v>0</v>
      </c>
      <c r="AW10" s="110">
        <f t="shared" si="1"/>
        <v>0</v>
      </c>
      <c r="AX10" s="110">
        <f t="shared" si="1"/>
        <v>0</v>
      </c>
      <c r="AY10" s="110">
        <f t="shared" si="1"/>
        <v>1</v>
      </c>
      <c r="AZ10" s="110">
        <f t="shared" si="1"/>
        <v>1</v>
      </c>
      <c r="BA10" s="110">
        <f t="shared" si="1"/>
        <v>1</v>
      </c>
      <c r="BB10" s="110">
        <f t="shared" si="1"/>
        <v>1</v>
      </c>
      <c r="BC10" s="110">
        <f t="shared" si="1"/>
        <v>1</v>
      </c>
      <c r="BD10" s="110">
        <f t="shared" si="1"/>
        <v>1</v>
      </c>
      <c r="BE10" s="110">
        <f t="shared" si="1"/>
        <v>1</v>
      </c>
      <c r="BF10" s="110">
        <f t="shared" si="1"/>
        <v>1</v>
      </c>
      <c r="BG10" s="110">
        <f t="shared" si="1"/>
        <v>1</v>
      </c>
      <c r="BH10" s="110">
        <f t="shared" si="1"/>
        <v>1</v>
      </c>
      <c r="BI10" s="110">
        <f t="shared" si="1"/>
        <v>1</v>
      </c>
      <c r="BJ10" s="110">
        <f t="shared" si="1"/>
        <v>0</v>
      </c>
      <c r="BK10" s="110">
        <f t="shared" si="1"/>
        <v>0</v>
      </c>
      <c r="BL10" s="110">
        <f t="shared" si="1"/>
        <v>0</v>
      </c>
      <c r="BM10" s="110">
        <f t="shared" si="1"/>
        <v>0</v>
      </c>
      <c r="BN10" s="110">
        <f t="shared" si="1"/>
        <v>0</v>
      </c>
      <c r="BO10" s="110">
        <f t="shared" si="1"/>
        <v>0</v>
      </c>
      <c r="BP10" s="104">
        <f t="shared" si="2"/>
        <v>11</v>
      </c>
      <c r="BQ10" s="104">
        <f t="shared" si="3"/>
        <v>11</v>
      </c>
      <c r="BR10" s="39"/>
      <c r="BT10" s="39"/>
      <c r="BU10" s="39"/>
      <c r="BV10" s="39"/>
      <c r="BW10" s="61"/>
      <c r="BX10" s="47"/>
      <c r="BY10" s="39"/>
      <c r="BZ10" s="39"/>
      <c r="CA10" s="39"/>
      <c r="CC10" s="1"/>
      <c r="CD10" s="1"/>
      <c r="CF10" s="1"/>
    </row>
    <row r="11" spans="1:84" x14ac:dyDescent="0.25">
      <c r="A11" s="1" t="s">
        <v>322</v>
      </c>
      <c r="B11" s="1">
        <v>30</v>
      </c>
      <c r="G11" s="1" t="s">
        <v>302</v>
      </c>
      <c r="I11" s="2">
        <v>8</v>
      </c>
      <c r="J11" s="79">
        <v>0</v>
      </c>
      <c r="K11">
        <v>8</v>
      </c>
      <c r="L11" s="61">
        <f>+K11/15</f>
        <v>0.53333333333333333</v>
      </c>
      <c r="O11" s="1"/>
      <c r="P11" s="1"/>
      <c r="Q11" s="301" t="s">
        <v>367</v>
      </c>
      <c r="R11" s="302"/>
      <c r="S11" s="302"/>
      <c r="T11" s="110">
        <v>0</v>
      </c>
      <c r="U11" s="110">
        <v>0</v>
      </c>
      <c r="V11" s="110">
        <v>0</v>
      </c>
      <c r="W11" s="110">
        <v>0</v>
      </c>
      <c r="X11" s="110">
        <v>0</v>
      </c>
      <c r="Y11" s="110">
        <v>0</v>
      </c>
      <c r="Z11" s="110">
        <v>0</v>
      </c>
      <c r="AA11" s="110">
        <v>0</v>
      </c>
      <c r="AB11" s="110">
        <v>0</v>
      </c>
      <c r="AC11" s="110">
        <v>0</v>
      </c>
      <c r="AD11" s="110">
        <v>1</v>
      </c>
      <c r="AE11" s="110">
        <v>1</v>
      </c>
      <c r="AF11" s="110">
        <v>1</v>
      </c>
      <c r="AG11" s="110">
        <v>1</v>
      </c>
      <c r="AH11" s="110">
        <v>1</v>
      </c>
      <c r="AI11" s="110">
        <v>1</v>
      </c>
      <c r="AJ11" s="110">
        <v>1</v>
      </c>
      <c r="AK11" s="110">
        <v>1</v>
      </c>
      <c r="AL11" s="110">
        <v>0</v>
      </c>
      <c r="AM11" s="110">
        <v>0</v>
      </c>
      <c r="AN11" s="110">
        <v>0</v>
      </c>
      <c r="AO11" s="110">
        <v>0</v>
      </c>
      <c r="AP11" s="110">
        <v>0</v>
      </c>
      <c r="AQ11" s="110">
        <v>0</v>
      </c>
      <c r="AR11" s="163">
        <f t="shared" si="0"/>
        <v>0</v>
      </c>
      <c r="AS11" s="110">
        <f t="shared" si="1"/>
        <v>0</v>
      </c>
      <c r="AT11" s="110">
        <f t="shared" si="1"/>
        <v>0</v>
      </c>
      <c r="AU11" s="110">
        <f t="shared" si="1"/>
        <v>0</v>
      </c>
      <c r="AV11" s="110">
        <f t="shared" si="1"/>
        <v>0</v>
      </c>
      <c r="AW11" s="110">
        <f t="shared" si="1"/>
        <v>0</v>
      </c>
      <c r="AX11" s="110">
        <f t="shared" si="1"/>
        <v>0</v>
      </c>
      <c r="AY11" s="110">
        <f t="shared" si="1"/>
        <v>0</v>
      </c>
      <c r="AZ11" s="110">
        <f t="shared" si="1"/>
        <v>0</v>
      </c>
      <c r="BA11" s="110">
        <f t="shared" si="1"/>
        <v>0</v>
      </c>
      <c r="BB11" s="110">
        <f t="shared" si="1"/>
        <v>1</v>
      </c>
      <c r="BC11" s="110">
        <f t="shared" si="1"/>
        <v>1</v>
      </c>
      <c r="BD11" s="110">
        <f t="shared" si="1"/>
        <v>1</v>
      </c>
      <c r="BE11" s="110">
        <f t="shared" si="1"/>
        <v>1</v>
      </c>
      <c r="BF11" s="110">
        <f t="shared" si="1"/>
        <v>1</v>
      </c>
      <c r="BG11" s="110">
        <f t="shared" si="1"/>
        <v>1</v>
      </c>
      <c r="BH11" s="110">
        <f t="shared" si="1"/>
        <v>1</v>
      </c>
      <c r="BI11" s="110">
        <f t="shared" si="1"/>
        <v>1</v>
      </c>
      <c r="BJ11" s="110">
        <f t="shared" si="1"/>
        <v>0</v>
      </c>
      <c r="BK11" s="110">
        <f t="shared" si="1"/>
        <v>0</v>
      </c>
      <c r="BL11" s="110">
        <f t="shared" si="1"/>
        <v>0</v>
      </c>
      <c r="BM11" s="110">
        <f t="shared" si="1"/>
        <v>0</v>
      </c>
      <c r="BN11" s="110">
        <f t="shared" si="1"/>
        <v>0</v>
      </c>
      <c r="BO11" s="110">
        <f t="shared" si="1"/>
        <v>0</v>
      </c>
      <c r="BP11" s="104">
        <f t="shared" si="2"/>
        <v>8</v>
      </c>
      <c r="BQ11" s="104">
        <f t="shared" si="3"/>
        <v>8</v>
      </c>
      <c r="BR11" s="39"/>
      <c r="BT11" s="39"/>
      <c r="BU11" s="39"/>
      <c r="BV11" s="39"/>
      <c r="BW11" s="61"/>
      <c r="BX11" s="47"/>
      <c r="BY11" s="39"/>
      <c r="BZ11" s="39"/>
      <c r="CA11" s="39"/>
      <c r="CC11" s="1"/>
      <c r="CD11" s="1"/>
      <c r="CF11" s="1"/>
    </row>
    <row r="12" spans="1:84" x14ac:dyDescent="0.25">
      <c r="A12" s="7" t="s">
        <v>130</v>
      </c>
      <c r="B12" s="7">
        <v>40</v>
      </c>
      <c r="G12" s="1" t="s">
        <v>303</v>
      </c>
      <c r="I12" s="2">
        <v>6</v>
      </c>
      <c r="J12" s="79">
        <v>0</v>
      </c>
      <c r="K12">
        <v>10</v>
      </c>
      <c r="L12" s="61">
        <f>+K12/15</f>
        <v>0.66666666666666663</v>
      </c>
      <c r="O12" s="1"/>
      <c r="P12" s="1"/>
      <c r="Q12" s="301" t="s">
        <v>368</v>
      </c>
      <c r="R12" s="302"/>
      <c r="S12" s="302"/>
      <c r="T12" s="110">
        <v>0</v>
      </c>
      <c r="U12" s="110">
        <v>0</v>
      </c>
      <c r="V12" s="110">
        <v>0</v>
      </c>
      <c r="W12" s="110">
        <v>0</v>
      </c>
      <c r="X12" s="110">
        <v>0</v>
      </c>
      <c r="Y12" s="110">
        <v>0</v>
      </c>
      <c r="Z12" s="110">
        <v>0</v>
      </c>
      <c r="AA12" s="110">
        <v>0</v>
      </c>
      <c r="AB12" s="110">
        <v>0</v>
      </c>
      <c r="AC12" s="110">
        <v>0</v>
      </c>
      <c r="AD12" s="110">
        <v>0</v>
      </c>
      <c r="AE12" s="110">
        <v>0</v>
      </c>
      <c r="AF12" s="110">
        <v>1</v>
      </c>
      <c r="AG12" s="110">
        <v>1</v>
      </c>
      <c r="AH12" s="110">
        <v>1</v>
      </c>
      <c r="AI12" s="110">
        <v>1</v>
      </c>
      <c r="AJ12" s="110">
        <v>1</v>
      </c>
      <c r="AK12" s="110">
        <v>1</v>
      </c>
      <c r="AL12" s="110">
        <v>0</v>
      </c>
      <c r="AM12" s="110">
        <v>0</v>
      </c>
      <c r="AN12" s="110">
        <v>0</v>
      </c>
      <c r="AO12" s="110">
        <v>0</v>
      </c>
      <c r="AP12" s="110">
        <v>0</v>
      </c>
      <c r="AQ12" s="110">
        <v>0</v>
      </c>
      <c r="AR12" s="163">
        <f t="shared" si="0"/>
        <v>0</v>
      </c>
      <c r="AS12" s="110">
        <f t="shared" si="1"/>
        <v>0</v>
      </c>
      <c r="AT12" s="110">
        <f t="shared" si="1"/>
        <v>0</v>
      </c>
      <c r="AU12" s="110">
        <f t="shared" si="1"/>
        <v>0</v>
      </c>
      <c r="AV12" s="110">
        <f t="shared" si="1"/>
        <v>0</v>
      </c>
      <c r="AW12" s="110">
        <f t="shared" si="1"/>
        <v>0</v>
      </c>
      <c r="AX12" s="110">
        <f t="shared" si="1"/>
        <v>0</v>
      </c>
      <c r="AY12" s="110">
        <f t="shared" si="1"/>
        <v>0</v>
      </c>
      <c r="AZ12" s="110">
        <f t="shared" si="1"/>
        <v>0</v>
      </c>
      <c r="BA12" s="110">
        <f t="shared" si="1"/>
        <v>0</v>
      </c>
      <c r="BB12" s="110">
        <f t="shared" si="1"/>
        <v>0</v>
      </c>
      <c r="BC12" s="110">
        <f t="shared" si="1"/>
        <v>0</v>
      </c>
      <c r="BD12" s="110">
        <f t="shared" si="1"/>
        <v>1</v>
      </c>
      <c r="BE12" s="110">
        <f t="shared" si="1"/>
        <v>1</v>
      </c>
      <c r="BF12" s="110">
        <f t="shared" si="1"/>
        <v>1</v>
      </c>
      <c r="BG12" s="110">
        <f t="shared" si="1"/>
        <v>1</v>
      </c>
      <c r="BH12" s="110">
        <f t="shared" si="1"/>
        <v>1</v>
      </c>
      <c r="BI12" s="110">
        <f t="shared" si="1"/>
        <v>1</v>
      </c>
      <c r="BJ12" s="110">
        <f t="shared" si="1"/>
        <v>0</v>
      </c>
      <c r="BK12" s="110">
        <f t="shared" si="1"/>
        <v>0</v>
      </c>
      <c r="BL12" s="110">
        <f t="shared" si="1"/>
        <v>0</v>
      </c>
      <c r="BM12" s="110">
        <f t="shared" si="1"/>
        <v>0</v>
      </c>
      <c r="BN12" s="110">
        <f t="shared" si="1"/>
        <v>0</v>
      </c>
      <c r="BO12" s="110">
        <f t="shared" si="1"/>
        <v>0</v>
      </c>
      <c r="BP12" s="104">
        <f t="shared" si="2"/>
        <v>6</v>
      </c>
      <c r="BQ12" s="104">
        <f t="shared" si="3"/>
        <v>6</v>
      </c>
      <c r="BR12" s="39"/>
      <c r="BT12" s="39"/>
      <c r="BU12" s="39"/>
      <c r="BV12" s="39"/>
      <c r="BW12" s="61"/>
      <c r="BX12" s="47"/>
      <c r="BY12" s="39"/>
      <c r="BZ12" s="39"/>
      <c r="CA12" s="39"/>
      <c r="CC12" s="1"/>
      <c r="CD12" s="1"/>
      <c r="CF12" s="1"/>
    </row>
    <row r="13" spans="1:84" x14ac:dyDescent="0.25">
      <c r="A13" s="1" t="s">
        <v>359</v>
      </c>
      <c r="B13" s="1">
        <v>50</v>
      </c>
      <c r="G13" s="1" t="s">
        <v>304</v>
      </c>
      <c r="I13" s="2">
        <v>6</v>
      </c>
      <c r="J13" s="79">
        <v>0</v>
      </c>
      <c r="K13">
        <v>12</v>
      </c>
      <c r="L13" s="61">
        <f>+K13/15</f>
        <v>0.8</v>
      </c>
      <c r="O13" s="1"/>
      <c r="P13" s="1"/>
      <c r="Q13" s="301" t="s">
        <v>260</v>
      </c>
      <c r="R13" s="302"/>
      <c r="S13" s="302"/>
      <c r="T13" s="110">
        <v>0</v>
      </c>
      <c r="U13" s="110">
        <v>0</v>
      </c>
      <c r="V13" s="110">
        <v>0</v>
      </c>
      <c r="W13" s="110">
        <v>0</v>
      </c>
      <c r="X13" s="110">
        <v>0</v>
      </c>
      <c r="Y13" s="110">
        <v>0</v>
      </c>
      <c r="Z13" s="110">
        <v>0</v>
      </c>
      <c r="AA13" s="110">
        <v>0</v>
      </c>
      <c r="AB13" s="110">
        <v>0</v>
      </c>
      <c r="AC13" s="110">
        <v>0</v>
      </c>
      <c r="AD13" s="110">
        <v>0</v>
      </c>
      <c r="AE13" s="110">
        <v>1</v>
      </c>
      <c r="AF13" s="110">
        <v>1</v>
      </c>
      <c r="AG13" s="110">
        <v>1</v>
      </c>
      <c r="AH13" s="110">
        <v>1</v>
      </c>
      <c r="AI13" s="110">
        <v>1</v>
      </c>
      <c r="AJ13" s="110">
        <v>1</v>
      </c>
      <c r="AK13" s="110">
        <v>1</v>
      </c>
      <c r="AL13" s="110">
        <v>0</v>
      </c>
      <c r="AM13" s="110">
        <v>0</v>
      </c>
      <c r="AN13" s="110">
        <v>0</v>
      </c>
      <c r="AO13" s="110">
        <v>0</v>
      </c>
      <c r="AP13" s="110">
        <v>1</v>
      </c>
      <c r="AQ13" s="110">
        <v>1</v>
      </c>
      <c r="AR13" s="163">
        <f t="shared" si="0"/>
        <v>0</v>
      </c>
      <c r="AS13" s="110">
        <f t="shared" si="1"/>
        <v>0</v>
      </c>
      <c r="AT13" s="110">
        <f t="shared" si="1"/>
        <v>0</v>
      </c>
      <c r="AU13" s="110">
        <f t="shared" si="1"/>
        <v>0</v>
      </c>
      <c r="AV13" s="110">
        <f t="shared" si="1"/>
        <v>0</v>
      </c>
      <c r="AW13" s="110">
        <f t="shared" si="1"/>
        <v>0</v>
      </c>
      <c r="AX13" s="110">
        <f t="shared" si="1"/>
        <v>0</v>
      </c>
      <c r="AY13" s="110">
        <f t="shared" si="1"/>
        <v>0</v>
      </c>
      <c r="AZ13" s="110">
        <f t="shared" si="1"/>
        <v>0</v>
      </c>
      <c r="BA13" s="110">
        <f t="shared" si="1"/>
        <v>0</v>
      </c>
      <c r="BB13" s="110">
        <f t="shared" si="1"/>
        <v>0</v>
      </c>
      <c r="BC13" s="110">
        <f t="shared" si="1"/>
        <v>1</v>
      </c>
      <c r="BD13" s="110">
        <f t="shared" si="1"/>
        <v>1</v>
      </c>
      <c r="BE13" s="110">
        <f t="shared" si="1"/>
        <v>1</v>
      </c>
      <c r="BF13" s="110">
        <f t="shared" si="1"/>
        <v>1</v>
      </c>
      <c r="BG13" s="110">
        <f t="shared" si="1"/>
        <v>1</v>
      </c>
      <c r="BH13" s="110">
        <f t="shared" si="1"/>
        <v>1</v>
      </c>
      <c r="BI13" s="110">
        <f t="shared" si="1"/>
        <v>1</v>
      </c>
      <c r="BJ13" s="110">
        <f t="shared" si="1"/>
        <v>0</v>
      </c>
      <c r="BK13" s="110">
        <f t="shared" si="1"/>
        <v>0</v>
      </c>
      <c r="BL13" s="110">
        <f t="shared" si="1"/>
        <v>0</v>
      </c>
      <c r="BM13" s="110">
        <f t="shared" si="1"/>
        <v>0</v>
      </c>
      <c r="BN13" s="110">
        <f t="shared" si="1"/>
        <v>1</v>
      </c>
      <c r="BO13" s="110">
        <f t="shared" si="1"/>
        <v>1</v>
      </c>
      <c r="BP13" s="104">
        <f t="shared" si="2"/>
        <v>9</v>
      </c>
      <c r="BQ13" s="104">
        <f t="shared" si="3"/>
        <v>9</v>
      </c>
      <c r="BR13" s="39"/>
      <c r="BT13" s="39"/>
      <c r="BU13" s="39"/>
      <c r="BV13" s="39"/>
      <c r="BW13" s="61"/>
      <c r="BY13" s="39"/>
      <c r="BZ13" s="39"/>
      <c r="CA13" s="39"/>
      <c r="CC13" s="1"/>
      <c r="CD13" s="1"/>
      <c r="CF13" s="1"/>
    </row>
    <row r="14" spans="1:84" x14ac:dyDescent="0.25">
      <c r="A14" s="1" t="s">
        <v>131</v>
      </c>
      <c r="B14" s="1">
        <v>60</v>
      </c>
      <c r="G14" s="3" t="s">
        <v>126</v>
      </c>
      <c r="I14" s="2">
        <v>1</v>
      </c>
      <c r="J14" s="79">
        <v>1</v>
      </c>
      <c r="K14">
        <v>15</v>
      </c>
      <c r="L14" s="40" t="s">
        <v>115</v>
      </c>
      <c r="O14" s="1"/>
      <c r="P14" s="1"/>
      <c r="Q14" s="301" t="s">
        <v>224</v>
      </c>
      <c r="R14" s="302"/>
      <c r="S14" s="302"/>
      <c r="T14" s="110">
        <v>0</v>
      </c>
      <c r="U14" s="110">
        <v>0</v>
      </c>
      <c r="V14" s="110">
        <v>0</v>
      </c>
      <c r="W14" s="110">
        <v>0</v>
      </c>
      <c r="X14" s="110">
        <v>0</v>
      </c>
      <c r="Y14" s="110">
        <v>0</v>
      </c>
      <c r="Z14" s="110">
        <v>0</v>
      </c>
      <c r="AA14" s="110">
        <v>0</v>
      </c>
      <c r="AB14" s="110">
        <v>0</v>
      </c>
      <c r="AC14" s="110">
        <v>0</v>
      </c>
      <c r="AD14" s="110">
        <v>0</v>
      </c>
      <c r="AE14" s="110">
        <v>0</v>
      </c>
      <c r="AF14" s="110">
        <v>1</v>
      </c>
      <c r="AG14" s="110">
        <v>1</v>
      </c>
      <c r="AH14" s="110">
        <v>1</v>
      </c>
      <c r="AI14" s="110">
        <v>1</v>
      </c>
      <c r="AJ14" s="110">
        <v>1</v>
      </c>
      <c r="AK14" s="110">
        <v>0</v>
      </c>
      <c r="AL14" s="110">
        <v>0</v>
      </c>
      <c r="AM14" s="110">
        <v>0</v>
      </c>
      <c r="AN14" s="110">
        <v>0</v>
      </c>
      <c r="AO14" s="110">
        <v>0</v>
      </c>
      <c r="AP14" s="110">
        <v>0</v>
      </c>
      <c r="AQ14" s="110">
        <v>0</v>
      </c>
      <c r="AR14" s="163">
        <f t="shared" si="0"/>
        <v>0</v>
      </c>
      <c r="AS14" s="110">
        <f t="shared" ref="AS14:BO14" si="4">+U14</f>
        <v>0</v>
      </c>
      <c r="AT14" s="110">
        <f t="shared" si="4"/>
        <v>0</v>
      </c>
      <c r="AU14" s="110">
        <f t="shared" si="4"/>
        <v>0</v>
      </c>
      <c r="AV14" s="110">
        <f t="shared" si="4"/>
        <v>0</v>
      </c>
      <c r="AW14" s="110">
        <f t="shared" si="4"/>
        <v>0</v>
      </c>
      <c r="AX14" s="110">
        <f t="shared" si="4"/>
        <v>0</v>
      </c>
      <c r="AY14" s="110">
        <f t="shared" si="4"/>
        <v>0</v>
      </c>
      <c r="AZ14" s="110">
        <f t="shared" si="4"/>
        <v>0</v>
      </c>
      <c r="BA14" s="110">
        <f t="shared" si="4"/>
        <v>0</v>
      </c>
      <c r="BB14" s="110">
        <f t="shared" si="4"/>
        <v>0</v>
      </c>
      <c r="BC14" s="110">
        <f t="shared" si="4"/>
        <v>0</v>
      </c>
      <c r="BD14" s="110">
        <f t="shared" si="4"/>
        <v>1</v>
      </c>
      <c r="BE14" s="110">
        <f t="shared" si="4"/>
        <v>1</v>
      </c>
      <c r="BF14" s="110">
        <f t="shared" si="4"/>
        <v>1</v>
      </c>
      <c r="BG14" s="110">
        <f t="shared" si="4"/>
        <v>1</v>
      </c>
      <c r="BH14" s="110">
        <f t="shared" si="4"/>
        <v>1</v>
      </c>
      <c r="BI14" s="110">
        <f t="shared" si="4"/>
        <v>0</v>
      </c>
      <c r="BJ14" s="110">
        <f t="shared" si="4"/>
        <v>0</v>
      </c>
      <c r="BK14" s="110">
        <f t="shared" si="4"/>
        <v>0</v>
      </c>
      <c r="BL14" s="110">
        <f t="shared" si="4"/>
        <v>0</v>
      </c>
      <c r="BM14" s="110">
        <f t="shared" si="4"/>
        <v>0</v>
      </c>
      <c r="BN14" s="110">
        <f t="shared" si="4"/>
        <v>0</v>
      </c>
      <c r="BO14" s="110">
        <f t="shared" si="4"/>
        <v>0</v>
      </c>
      <c r="BP14" s="104">
        <f t="shared" si="2"/>
        <v>5</v>
      </c>
      <c r="BQ14" s="104">
        <f t="shared" si="3"/>
        <v>5</v>
      </c>
      <c r="BR14" s="39"/>
      <c r="BT14" s="39"/>
      <c r="BU14" s="39"/>
      <c r="BV14" s="39"/>
      <c r="BW14" s="61"/>
      <c r="BY14" s="39"/>
      <c r="BZ14" s="39"/>
      <c r="CA14" s="39"/>
      <c r="CC14" s="1"/>
      <c r="CD14" s="1"/>
      <c r="CF14" s="1"/>
    </row>
    <row r="15" spans="1:84" x14ac:dyDescent="0.25">
      <c r="A15" s="1" t="s">
        <v>132</v>
      </c>
      <c r="B15" s="1">
        <v>80</v>
      </c>
      <c r="G15" s="3" t="s">
        <v>125</v>
      </c>
      <c r="I15" s="2">
        <v>2</v>
      </c>
      <c r="J15" s="79">
        <v>1</v>
      </c>
      <c r="K15">
        <v>15</v>
      </c>
      <c r="L15" s="40" t="s">
        <v>115</v>
      </c>
      <c r="O15" s="1"/>
      <c r="P15" s="1"/>
      <c r="Q15" s="301" t="s">
        <v>225</v>
      </c>
      <c r="R15" s="302"/>
      <c r="S15" s="302"/>
      <c r="T15" s="110">
        <v>1</v>
      </c>
      <c r="U15" s="110">
        <v>0</v>
      </c>
      <c r="V15" s="110">
        <v>0</v>
      </c>
      <c r="W15" s="110">
        <v>0</v>
      </c>
      <c r="X15" s="110">
        <v>0</v>
      </c>
      <c r="Y15" s="110">
        <v>0</v>
      </c>
      <c r="Z15" s="110">
        <v>0</v>
      </c>
      <c r="AA15" s="110">
        <v>0</v>
      </c>
      <c r="AB15" s="110">
        <v>0</v>
      </c>
      <c r="AC15" s="110">
        <v>0</v>
      </c>
      <c r="AD15" s="110">
        <v>0</v>
      </c>
      <c r="AE15" s="110">
        <v>0</v>
      </c>
      <c r="AF15" s="110">
        <v>1</v>
      </c>
      <c r="AG15" s="110">
        <v>1</v>
      </c>
      <c r="AH15" s="110">
        <v>1</v>
      </c>
      <c r="AI15" s="110">
        <v>1</v>
      </c>
      <c r="AJ15" s="110">
        <v>1</v>
      </c>
      <c r="AK15" s="110">
        <v>0</v>
      </c>
      <c r="AL15" s="110">
        <v>0</v>
      </c>
      <c r="AM15" s="110">
        <v>0</v>
      </c>
      <c r="AN15" s="110">
        <v>0</v>
      </c>
      <c r="AO15" s="110">
        <v>0</v>
      </c>
      <c r="AP15" s="110">
        <v>0</v>
      </c>
      <c r="AQ15" s="110">
        <v>0</v>
      </c>
      <c r="AR15" s="163">
        <v>1</v>
      </c>
      <c r="AS15" s="110">
        <f t="shared" ref="AS15:BO15" si="5">+U15</f>
        <v>0</v>
      </c>
      <c r="AT15" s="110">
        <f t="shared" si="5"/>
        <v>0</v>
      </c>
      <c r="AU15" s="110">
        <f t="shared" si="5"/>
        <v>0</v>
      </c>
      <c r="AV15" s="110">
        <f t="shared" si="5"/>
        <v>0</v>
      </c>
      <c r="AW15" s="110">
        <f t="shared" si="5"/>
        <v>0</v>
      </c>
      <c r="AX15" s="110">
        <f t="shared" si="5"/>
        <v>0</v>
      </c>
      <c r="AY15" s="110">
        <f t="shared" si="5"/>
        <v>0</v>
      </c>
      <c r="AZ15" s="110">
        <f t="shared" si="5"/>
        <v>0</v>
      </c>
      <c r="BA15" s="110">
        <f t="shared" si="5"/>
        <v>0</v>
      </c>
      <c r="BB15" s="110">
        <f t="shared" si="5"/>
        <v>0</v>
      </c>
      <c r="BC15" s="110">
        <f t="shared" si="5"/>
        <v>0</v>
      </c>
      <c r="BD15" s="110">
        <f t="shared" si="5"/>
        <v>1</v>
      </c>
      <c r="BE15" s="110">
        <f t="shared" si="5"/>
        <v>1</v>
      </c>
      <c r="BF15" s="110">
        <f t="shared" si="5"/>
        <v>1</v>
      </c>
      <c r="BG15" s="110">
        <f t="shared" si="5"/>
        <v>1</v>
      </c>
      <c r="BH15" s="110">
        <f t="shared" si="5"/>
        <v>1</v>
      </c>
      <c r="BI15" s="110">
        <f t="shared" si="5"/>
        <v>0</v>
      </c>
      <c r="BJ15" s="110">
        <f t="shared" si="5"/>
        <v>0</v>
      </c>
      <c r="BK15" s="110">
        <f t="shared" si="5"/>
        <v>0</v>
      </c>
      <c r="BL15" s="110">
        <f t="shared" si="5"/>
        <v>0</v>
      </c>
      <c r="BM15" s="110">
        <f t="shared" si="5"/>
        <v>0</v>
      </c>
      <c r="BN15" s="110">
        <f t="shared" si="5"/>
        <v>0</v>
      </c>
      <c r="BO15" s="110">
        <f t="shared" si="5"/>
        <v>0</v>
      </c>
      <c r="BP15" s="104">
        <f>+SUM(T15:AQ15)</f>
        <v>6</v>
      </c>
      <c r="BQ15" s="104">
        <f t="shared" si="3"/>
        <v>6</v>
      </c>
      <c r="BR15" s="39"/>
      <c r="BT15" s="39"/>
      <c r="BU15" s="39"/>
      <c r="BV15" s="39"/>
      <c r="BW15" s="61"/>
      <c r="BY15" s="39"/>
      <c r="BZ15" s="39"/>
      <c r="CA15" s="39"/>
      <c r="CC15" s="1"/>
      <c r="CD15" s="1"/>
      <c r="CF15" s="1"/>
    </row>
    <row r="16" spans="1:84" x14ac:dyDescent="0.25">
      <c r="A16" s="1" t="s">
        <v>129</v>
      </c>
      <c r="B16" s="1">
        <v>100</v>
      </c>
      <c r="G16" s="3" t="s">
        <v>127</v>
      </c>
      <c r="I16" s="112">
        <v>1</v>
      </c>
      <c r="J16" s="112">
        <v>1</v>
      </c>
      <c r="K16" s="113"/>
      <c r="L16" s="114"/>
      <c r="O16" s="1"/>
      <c r="P16" s="1"/>
      <c r="Q16" s="301" t="s">
        <v>56</v>
      </c>
      <c r="R16" s="302"/>
      <c r="S16" s="302"/>
      <c r="T16" s="111">
        <v>0</v>
      </c>
      <c r="U16" s="111">
        <v>0</v>
      </c>
      <c r="V16" s="111">
        <v>0</v>
      </c>
      <c r="W16" s="111">
        <v>0</v>
      </c>
      <c r="X16" s="111">
        <v>0</v>
      </c>
      <c r="Y16" s="111">
        <v>0</v>
      </c>
      <c r="Z16" s="111">
        <v>0</v>
      </c>
      <c r="AA16" s="111">
        <v>0</v>
      </c>
      <c r="AB16" s="111">
        <v>0</v>
      </c>
      <c r="AC16" s="111">
        <v>0</v>
      </c>
      <c r="AD16" s="111">
        <v>1</v>
      </c>
      <c r="AE16" s="111">
        <v>1</v>
      </c>
      <c r="AF16" s="111">
        <v>1</v>
      </c>
      <c r="AG16" s="111">
        <v>1</v>
      </c>
      <c r="AH16" s="111">
        <v>1</v>
      </c>
      <c r="AI16" s="111">
        <v>1</v>
      </c>
      <c r="AJ16" s="111">
        <v>1</v>
      </c>
      <c r="AK16" s="111">
        <v>1</v>
      </c>
      <c r="AL16" s="111">
        <v>0</v>
      </c>
      <c r="AM16" s="111">
        <v>0</v>
      </c>
      <c r="AN16" s="111">
        <v>0</v>
      </c>
      <c r="AO16" s="111">
        <v>0</v>
      </c>
      <c r="AP16" s="111">
        <v>0</v>
      </c>
      <c r="AQ16" s="111">
        <v>0</v>
      </c>
      <c r="AR16" s="159">
        <f t="shared" ref="AR16:BA17" si="6">+T16</f>
        <v>0</v>
      </c>
      <c r="AS16" s="160">
        <f t="shared" si="6"/>
        <v>0</v>
      </c>
      <c r="AT16" s="160">
        <f t="shared" si="6"/>
        <v>0</v>
      </c>
      <c r="AU16" s="160">
        <f t="shared" si="6"/>
        <v>0</v>
      </c>
      <c r="AV16" s="160">
        <f t="shared" si="6"/>
        <v>0</v>
      </c>
      <c r="AW16" s="160">
        <f t="shared" si="6"/>
        <v>0</v>
      </c>
      <c r="AX16" s="160">
        <f t="shared" si="6"/>
        <v>0</v>
      </c>
      <c r="AY16" s="160">
        <f t="shared" si="6"/>
        <v>0</v>
      </c>
      <c r="AZ16" s="160">
        <f t="shared" si="6"/>
        <v>0</v>
      </c>
      <c r="BA16" s="160">
        <f t="shared" si="6"/>
        <v>0</v>
      </c>
      <c r="BB16" s="160">
        <f t="shared" ref="BB16:BK17" si="7">+AD16</f>
        <v>1</v>
      </c>
      <c r="BC16" s="160">
        <f t="shared" si="7"/>
        <v>1</v>
      </c>
      <c r="BD16" s="160">
        <f t="shared" si="7"/>
        <v>1</v>
      </c>
      <c r="BE16" s="160">
        <f t="shared" si="7"/>
        <v>1</v>
      </c>
      <c r="BF16" s="160">
        <f t="shared" si="7"/>
        <v>1</v>
      </c>
      <c r="BG16" s="160">
        <f t="shared" si="7"/>
        <v>1</v>
      </c>
      <c r="BH16" s="160">
        <f t="shared" si="7"/>
        <v>1</v>
      </c>
      <c r="BI16" s="160">
        <f t="shared" si="7"/>
        <v>1</v>
      </c>
      <c r="BJ16" s="160">
        <f t="shared" si="7"/>
        <v>0</v>
      </c>
      <c r="BK16" s="160">
        <f t="shared" si="7"/>
        <v>0</v>
      </c>
      <c r="BL16" s="160">
        <f t="shared" ref="BL16:BO17" si="8">+AN16</f>
        <v>0</v>
      </c>
      <c r="BM16" s="160">
        <f t="shared" si="8"/>
        <v>0</v>
      </c>
      <c r="BN16" s="160">
        <f t="shared" si="8"/>
        <v>0</v>
      </c>
      <c r="BO16" s="160">
        <f t="shared" si="8"/>
        <v>0</v>
      </c>
      <c r="BP16" s="104">
        <f t="shared" si="2"/>
        <v>8</v>
      </c>
      <c r="BQ16" s="104">
        <f t="shared" si="3"/>
        <v>8</v>
      </c>
      <c r="BR16" s="39"/>
      <c r="BT16" s="39"/>
      <c r="BU16" s="39"/>
      <c r="BV16" s="39"/>
      <c r="BW16" s="61"/>
      <c r="BY16" s="39"/>
      <c r="BZ16" s="39"/>
      <c r="CA16" s="39"/>
      <c r="CC16" s="1"/>
      <c r="CD16" s="1"/>
      <c r="CF16" s="1"/>
    </row>
    <row r="17" spans="1:93" x14ac:dyDescent="0.25">
      <c r="A17" s="1" t="s">
        <v>297</v>
      </c>
      <c r="B17" s="1">
        <v>250</v>
      </c>
      <c r="J17" s="1"/>
      <c r="K17" s="1"/>
      <c r="O17" s="1"/>
      <c r="P17" s="1"/>
      <c r="Q17" s="301" t="s">
        <v>57</v>
      </c>
      <c r="R17" s="302"/>
      <c r="S17" s="302"/>
      <c r="T17" s="111">
        <v>0</v>
      </c>
      <c r="U17" s="111">
        <v>0</v>
      </c>
      <c r="V17" s="111">
        <v>0</v>
      </c>
      <c r="W17" s="111">
        <v>0</v>
      </c>
      <c r="X17" s="111">
        <v>0</v>
      </c>
      <c r="Y17" s="111">
        <v>0</v>
      </c>
      <c r="Z17" s="111">
        <v>0</v>
      </c>
      <c r="AA17" s="111">
        <v>0</v>
      </c>
      <c r="AB17" s="111">
        <v>0</v>
      </c>
      <c r="AC17" s="111">
        <v>0</v>
      </c>
      <c r="AD17" s="111">
        <v>0</v>
      </c>
      <c r="AE17" s="111">
        <v>0</v>
      </c>
      <c r="AF17" s="111">
        <v>0</v>
      </c>
      <c r="AG17" s="111">
        <v>0</v>
      </c>
      <c r="AH17" s="111">
        <v>0</v>
      </c>
      <c r="AI17" s="111">
        <v>0</v>
      </c>
      <c r="AJ17" s="111">
        <v>1</v>
      </c>
      <c r="AK17" s="111">
        <v>1</v>
      </c>
      <c r="AL17" s="111">
        <v>1</v>
      </c>
      <c r="AM17" s="111">
        <v>1</v>
      </c>
      <c r="AN17" s="111">
        <v>1</v>
      </c>
      <c r="AO17" s="111">
        <v>1</v>
      </c>
      <c r="AP17" s="111">
        <v>1</v>
      </c>
      <c r="AQ17" s="111">
        <v>1</v>
      </c>
      <c r="AR17" s="159">
        <f t="shared" si="6"/>
        <v>0</v>
      </c>
      <c r="AS17" s="160">
        <f t="shared" si="6"/>
        <v>0</v>
      </c>
      <c r="AT17" s="160">
        <f t="shared" si="6"/>
        <v>0</v>
      </c>
      <c r="AU17" s="160">
        <f t="shared" si="6"/>
        <v>0</v>
      </c>
      <c r="AV17" s="160">
        <f t="shared" si="6"/>
        <v>0</v>
      </c>
      <c r="AW17" s="160">
        <f t="shared" si="6"/>
        <v>0</v>
      </c>
      <c r="AX17" s="160">
        <f t="shared" si="6"/>
        <v>0</v>
      </c>
      <c r="AY17" s="160">
        <f t="shared" si="6"/>
        <v>0</v>
      </c>
      <c r="AZ17" s="160">
        <f t="shared" si="6"/>
        <v>0</v>
      </c>
      <c r="BA17" s="160">
        <f t="shared" si="6"/>
        <v>0</v>
      </c>
      <c r="BB17" s="160">
        <f t="shared" si="7"/>
        <v>0</v>
      </c>
      <c r="BC17" s="160">
        <f t="shared" si="7"/>
        <v>0</v>
      </c>
      <c r="BD17" s="160">
        <f t="shared" si="7"/>
        <v>0</v>
      </c>
      <c r="BE17" s="160">
        <f t="shared" si="7"/>
        <v>0</v>
      </c>
      <c r="BF17" s="160">
        <f t="shared" si="7"/>
        <v>0</v>
      </c>
      <c r="BG17" s="160">
        <f t="shared" si="7"/>
        <v>0</v>
      </c>
      <c r="BH17" s="160">
        <f t="shared" si="7"/>
        <v>1</v>
      </c>
      <c r="BI17" s="160">
        <f t="shared" si="7"/>
        <v>1</v>
      </c>
      <c r="BJ17" s="160">
        <f t="shared" si="7"/>
        <v>1</v>
      </c>
      <c r="BK17" s="160">
        <f t="shared" si="7"/>
        <v>1</v>
      </c>
      <c r="BL17" s="160">
        <f t="shared" si="8"/>
        <v>1</v>
      </c>
      <c r="BM17" s="160">
        <f t="shared" si="8"/>
        <v>1</v>
      </c>
      <c r="BN17" s="160">
        <f t="shared" si="8"/>
        <v>1</v>
      </c>
      <c r="BO17" s="160">
        <f t="shared" si="8"/>
        <v>1</v>
      </c>
      <c r="BP17" s="104">
        <f t="shared" si="2"/>
        <v>8</v>
      </c>
      <c r="BQ17" s="104">
        <f t="shared" si="3"/>
        <v>8</v>
      </c>
      <c r="BR17" s="39"/>
      <c r="BT17" s="39"/>
      <c r="BU17" s="39"/>
      <c r="BV17" s="39"/>
      <c r="BW17" s="61"/>
      <c r="BY17" s="39"/>
      <c r="BZ17" s="39"/>
      <c r="CA17" s="39"/>
      <c r="CC17" s="1"/>
      <c r="CD17" s="1"/>
      <c r="CF17" s="1"/>
    </row>
    <row r="18" spans="1:93" x14ac:dyDescent="0.25">
      <c r="A18" s="1" t="s">
        <v>298</v>
      </c>
      <c r="B18" s="1">
        <v>500</v>
      </c>
      <c r="G18" s="5"/>
      <c r="J18" s="1"/>
      <c r="K18" s="1"/>
      <c r="L18" s="1"/>
      <c r="O18" s="1"/>
      <c r="P18" s="1"/>
      <c r="Q18" s="214"/>
      <c r="R18" s="215"/>
      <c r="S18" s="215"/>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212"/>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104"/>
      <c r="BQ18" s="104"/>
      <c r="BR18" s="39"/>
      <c r="BT18" s="39"/>
      <c r="BU18" s="39"/>
      <c r="BV18" s="39"/>
      <c r="BW18" s="61"/>
      <c r="BY18" s="39"/>
      <c r="BZ18" s="39"/>
      <c r="CA18" s="39"/>
      <c r="CC18" s="1"/>
      <c r="CD18" s="1"/>
      <c r="CF18" s="1"/>
    </row>
    <row r="19" spans="1:93" x14ac:dyDescent="0.25">
      <c r="A19" s="1" t="s">
        <v>151</v>
      </c>
      <c r="B19" s="114">
        <v>120</v>
      </c>
      <c r="G19" s="1"/>
      <c r="H19" s="1"/>
      <c r="I19" s="1"/>
      <c r="J19" s="1"/>
      <c r="K19" s="1"/>
      <c r="L19" s="1"/>
      <c r="O19" s="1"/>
      <c r="P19" s="1"/>
      <c r="Q19" s="4" t="s">
        <v>228</v>
      </c>
      <c r="R19" s="166" t="s">
        <v>229</v>
      </c>
      <c r="BV19" s="1"/>
      <c r="CC19" s="1"/>
      <c r="CD19" s="1"/>
      <c r="CF19" s="1"/>
    </row>
    <row r="20" spans="1:93" x14ac:dyDescent="0.25">
      <c r="A20" s="1" t="s">
        <v>152</v>
      </c>
      <c r="B20" s="114">
        <v>300</v>
      </c>
      <c r="G20" s="3"/>
      <c r="H20" s="3"/>
      <c r="I20" s="3"/>
      <c r="J20" s="3"/>
      <c r="K20" s="3"/>
      <c r="L20" s="3"/>
      <c r="O20" s="1"/>
      <c r="P20" s="1"/>
      <c r="R20" s="1" t="s">
        <v>227</v>
      </c>
      <c r="CC20" s="1"/>
      <c r="CD20" s="1"/>
      <c r="CE20" s="1"/>
      <c r="CF20" s="1"/>
    </row>
    <row r="21" spans="1:93" x14ac:dyDescent="0.25">
      <c r="A21" s="3"/>
      <c r="B21" s="211"/>
      <c r="G21" s="3"/>
      <c r="H21" s="3"/>
      <c r="I21" s="3"/>
      <c r="J21" s="3"/>
      <c r="K21" s="3"/>
      <c r="L21" s="3"/>
      <c r="M21" s="1"/>
      <c r="N21" s="1"/>
      <c r="O21" s="1"/>
      <c r="P21" s="1"/>
      <c r="Q21" s="3"/>
      <c r="R21" s="1" t="s">
        <v>226</v>
      </c>
      <c r="CC21" s="1"/>
      <c r="CD21" s="1"/>
      <c r="CE21" s="1"/>
      <c r="CF21" s="1"/>
    </row>
    <row r="22" spans="1:93" x14ac:dyDescent="0.25">
      <c r="A22" s="3"/>
      <c r="B22" s="211"/>
      <c r="C22" s="1"/>
      <c r="D22" s="1"/>
      <c r="E22" s="1"/>
      <c r="F22" s="1"/>
      <c r="G22" s="3"/>
      <c r="H22" s="3"/>
      <c r="I22" s="3"/>
      <c r="J22" s="3"/>
      <c r="K22" s="3"/>
      <c r="L22" s="3"/>
      <c r="M22" s="1"/>
      <c r="N22" s="1"/>
      <c r="O22" s="1"/>
      <c r="P22" s="1"/>
      <c r="S22" s="1"/>
      <c r="CC22" s="1"/>
      <c r="CD22" s="1"/>
      <c r="CE22" s="1"/>
      <c r="CF22" s="1"/>
    </row>
    <row r="23" spans="1:93" x14ac:dyDescent="0.25">
      <c r="A23" s="3"/>
      <c r="B23" s="3"/>
      <c r="C23" s="3"/>
      <c r="D23" s="3"/>
      <c r="E23" s="3"/>
      <c r="F23" s="3"/>
      <c r="G23" s="3"/>
      <c r="H23" s="3"/>
      <c r="I23" s="3"/>
      <c r="J23" s="3"/>
      <c r="K23" s="3"/>
      <c r="L23" s="3"/>
      <c r="M23" s="3"/>
      <c r="N23" s="3"/>
      <c r="O23" s="3"/>
      <c r="P23" s="3"/>
      <c r="S23" s="3"/>
      <c r="CC23" s="3"/>
      <c r="CD23" s="3"/>
      <c r="CE23" s="3"/>
      <c r="CF23" s="3"/>
    </row>
    <row r="24" spans="1:93" x14ac:dyDescent="0.25">
      <c r="A24" s="3"/>
      <c r="B24" s="211"/>
      <c r="C24" s="3"/>
      <c r="D24" s="3"/>
      <c r="E24" s="3"/>
      <c r="F24" s="3"/>
      <c r="G24" s="3"/>
      <c r="H24" s="3"/>
      <c r="I24" s="3"/>
      <c r="J24" s="3"/>
      <c r="K24" s="3"/>
      <c r="L24" s="3"/>
      <c r="M24" s="3"/>
      <c r="N24" s="3"/>
      <c r="O24" s="3"/>
      <c r="P24" s="3"/>
      <c r="Q24" s="3"/>
      <c r="S24" s="3"/>
      <c r="CC24" s="3"/>
      <c r="CD24" s="3"/>
      <c r="CE24" s="3"/>
      <c r="CF24" s="3"/>
    </row>
    <row r="25" spans="1:93" x14ac:dyDescent="0.25">
      <c r="A25" s="3"/>
      <c r="B25" s="211"/>
      <c r="C25" s="3"/>
      <c r="D25" s="3"/>
      <c r="E25" s="3"/>
      <c r="F25" s="3"/>
      <c r="G25" s="33"/>
      <c r="H25" s="33"/>
      <c r="I25" s="33"/>
      <c r="J25" s="33"/>
      <c r="K25" s="33"/>
      <c r="L25" s="33"/>
      <c r="M25" s="3"/>
      <c r="N25" s="3"/>
      <c r="O25" s="3"/>
      <c r="P25" s="3"/>
      <c r="Q25" s="3"/>
      <c r="S25" s="3"/>
      <c r="CC25" s="3"/>
      <c r="CD25" s="3"/>
      <c r="CE25" s="3"/>
      <c r="CF25" s="3"/>
    </row>
    <row r="26" spans="1:93" x14ac:dyDescent="0.25">
      <c r="A26" s="3"/>
      <c r="B26" s="3"/>
      <c r="C26" s="3"/>
      <c r="D26" s="3"/>
      <c r="E26" s="3"/>
      <c r="F26" s="3"/>
      <c r="G26" s="1"/>
      <c r="H26" s="1"/>
      <c r="I26" s="1"/>
      <c r="J26" s="1"/>
      <c r="K26" s="1"/>
      <c r="L26" s="1"/>
      <c r="M26" s="3"/>
      <c r="N26" s="3"/>
      <c r="O26" s="3"/>
      <c r="P26" s="3"/>
      <c r="Q26" s="3"/>
      <c r="S26" s="3"/>
      <c r="CC26" s="3"/>
      <c r="CD26" s="3"/>
      <c r="CE26" s="3"/>
      <c r="CF26" s="3"/>
    </row>
    <row r="27" spans="1:93" x14ac:dyDescent="0.25">
      <c r="A27" s="3"/>
      <c r="B27" s="3"/>
      <c r="C27" s="3"/>
      <c r="D27" s="3"/>
      <c r="E27" s="3"/>
      <c r="F27" s="3"/>
      <c r="G27" s="1"/>
      <c r="H27" s="1"/>
      <c r="I27" s="1"/>
      <c r="J27" s="1"/>
      <c r="K27" s="1"/>
      <c r="L27" s="1"/>
      <c r="M27" s="3"/>
      <c r="N27" s="3"/>
      <c r="O27" s="3"/>
      <c r="P27" s="3"/>
      <c r="Q27" s="3"/>
      <c r="S27" s="3"/>
      <c r="CC27" s="3"/>
      <c r="CD27" s="3"/>
      <c r="CE27" s="3"/>
      <c r="CF27" s="3"/>
    </row>
    <row r="28" spans="1:93" x14ac:dyDescent="0.25">
      <c r="A28" s="33"/>
      <c r="B28" s="33"/>
      <c r="C28" s="33"/>
      <c r="D28" s="33"/>
      <c r="E28" s="33"/>
      <c r="F28" s="33"/>
      <c r="G28" s="1"/>
      <c r="H28" s="1"/>
      <c r="I28" s="1"/>
      <c r="J28" s="1"/>
      <c r="K28" s="1"/>
      <c r="L28" s="1"/>
      <c r="M28" s="33"/>
      <c r="N28" s="33"/>
      <c r="O28" s="33"/>
      <c r="P28" s="33"/>
      <c r="Q28" s="33"/>
      <c r="CA28" s="33"/>
      <c r="CB28" s="33"/>
      <c r="CC28" s="33"/>
      <c r="CD28" s="33"/>
    </row>
    <row r="29" spans="1:93" x14ac:dyDescent="0.25">
      <c r="A29" s="1"/>
      <c r="B29" s="1"/>
      <c r="C29" s="1"/>
      <c r="D29" s="1"/>
      <c r="E29" s="1"/>
      <c r="F29" s="1"/>
      <c r="G29" s="1"/>
      <c r="H29" s="1"/>
      <c r="I29" s="1"/>
      <c r="J29" s="1"/>
      <c r="K29" s="1"/>
      <c r="L29" s="1"/>
      <c r="M29" s="1"/>
      <c r="N29" s="1"/>
      <c r="O29" s="1"/>
      <c r="P29" s="1"/>
      <c r="CA29" s="1"/>
      <c r="CB29" s="1"/>
      <c r="CC29" s="1"/>
      <c r="CD29" s="1"/>
    </row>
    <row r="30" spans="1:93" x14ac:dyDescent="0.25">
      <c r="A30" s="34" t="s">
        <v>19</v>
      </c>
      <c r="B30" s="16" t="s">
        <v>7</v>
      </c>
      <c r="C30" s="8" t="s">
        <v>4</v>
      </c>
      <c r="D30" s="9"/>
      <c r="E30" s="9"/>
      <c r="F30" s="9"/>
      <c r="G30" s="8" t="s">
        <v>5</v>
      </c>
      <c r="H30" s="9"/>
      <c r="I30" s="9"/>
      <c r="J30" s="10"/>
      <c r="K30" s="8" t="s">
        <v>148</v>
      </c>
      <c r="L30" s="9"/>
      <c r="M30" s="10"/>
      <c r="N30" s="9" t="s">
        <v>308</v>
      </c>
      <c r="O30" s="9"/>
      <c r="P30" s="10"/>
      <c r="Q30" s="31" t="s">
        <v>43</v>
      </c>
      <c r="R30" s="18" t="s">
        <v>137</v>
      </c>
      <c r="S30" s="45"/>
      <c r="T30" s="45"/>
      <c r="U30" s="45"/>
      <c r="V30" s="45"/>
      <c r="W30" s="45"/>
      <c r="X30" s="45"/>
      <c r="Y30" s="45"/>
      <c r="Z30" s="45"/>
      <c r="AA30" s="45"/>
      <c r="AB30" s="45"/>
      <c r="AC30" s="45"/>
      <c r="AD30" s="45"/>
      <c r="AE30" s="45"/>
      <c r="AF30" s="45"/>
      <c r="AG30" s="45"/>
      <c r="AH30" s="45"/>
      <c r="AI30" s="45"/>
      <c r="AJ30" s="45"/>
      <c r="AK30" s="45"/>
      <c r="AL30" s="45"/>
      <c r="AM30" s="45"/>
      <c r="AN30" s="45"/>
      <c r="AO30" s="46"/>
      <c r="AP30" s="18" t="s">
        <v>138</v>
      </c>
      <c r="AQ30" s="45"/>
      <c r="AR30" s="45"/>
      <c r="AS30" s="45"/>
      <c r="AT30" s="45"/>
      <c r="AU30" s="45"/>
      <c r="AV30" s="45"/>
      <c r="AW30" s="45"/>
      <c r="AX30" s="45"/>
      <c r="AY30" s="45"/>
      <c r="AZ30" s="45"/>
      <c r="BA30" s="45"/>
      <c r="BB30" s="45"/>
      <c r="BC30" s="45"/>
      <c r="BD30" s="45"/>
      <c r="BE30" s="45"/>
      <c r="BF30" s="45"/>
      <c r="BG30" s="45"/>
      <c r="BH30" s="45"/>
      <c r="BI30" s="45"/>
      <c r="BJ30" s="45"/>
      <c r="BK30" s="45"/>
      <c r="BL30" s="45"/>
      <c r="BM30" s="46"/>
      <c r="BN30" s="44" t="s">
        <v>54</v>
      </c>
      <c r="BO30" s="45"/>
      <c r="BP30" s="45"/>
      <c r="BQ30" s="45"/>
      <c r="BR30" s="45"/>
      <c r="BS30" s="45"/>
      <c r="BT30" s="45"/>
      <c r="BU30" s="45"/>
      <c r="BV30" s="45"/>
      <c r="BW30" s="45"/>
      <c r="BX30" s="45"/>
      <c r="BY30" s="46"/>
      <c r="BZ30" s="16" t="s">
        <v>0</v>
      </c>
      <c r="CA30" s="14" t="s">
        <v>18</v>
      </c>
      <c r="CB30" s="18" t="s">
        <v>42</v>
      </c>
      <c r="CC30" s="19"/>
      <c r="CD30" s="106" t="s">
        <v>18</v>
      </c>
      <c r="CE30" s="18" t="s">
        <v>139</v>
      </c>
      <c r="CF30" s="106"/>
      <c r="CG30" s="106"/>
      <c r="CH30" s="18" t="s">
        <v>142</v>
      </c>
      <c r="CI30" s="19"/>
      <c r="CJ30" s="18" t="s">
        <v>141</v>
      </c>
      <c r="CK30" s="106"/>
      <c r="CL30" s="106"/>
      <c r="CM30" s="18" t="s">
        <v>143</v>
      </c>
      <c r="CN30" s="19"/>
      <c r="CO30" s="244" t="s">
        <v>323</v>
      </c>
    </row>
    <row r="31" spans="1:93" x14ac:dyDescent="0.25">
      <c r="A31" s="35"/>
      <c r="B31" s="15" t="s">
        <v>11</v>
      </c>
      <c r="C31" s="28" t="s">
        <v>2</v>
      </c>
      <c r="D31" s="29" t="s">
        <v>8</v>
      </c>
      <c r="E31" s="29" t="s">
        <v>9</v>
      </c>
      <c r="F31" s="29" t="s">
        <v>10</v>
      </c>
      <c r="G31" s="28" t="s">
        <v>2</v>
      </c>
      <c r="H31" s="32" t="s">
        <v>8</v>
      </c>
      <c r="I31" s="32" t="s">
        <v>9</v>
      </c>
      <c r="J31" s="17" t="s">
        <v>10</v>
      </c>
      <c r="K31" s="12" t="s">
        <v>8</v>
      </c>
      <c r="L31" s="32" t="s">
        <v>9</v>
      </c>
      <c r="M31" s="17" t="s">
        <v>10</v>
      </c>
      <c r="N31" s="32" t="s">
        <v>8</v>
      </c>
      <c r="O31" s="32" t="s">
        <v>9</v>
      </c>
      <c r="P31" s="17" t="s">
        <v>10</v>
      </c>
      <c r="Q31" s="27" t="s">
        <v>36</v>
      </c>
      <c r="R31" s="62" t="s">
        <v>74</v>
      </c>
      <c r="S31" s="63" t="s">
        <v>75</v>
      </c>
      <c r="T31" s="63" t="s">
        <v>76</v>
      </c>
      <c r="U31" s="63" t="s">
        <v>77</v>
      </c>
      <c r="V31" s="63" t="s">
        <v>78</v>
      </c>
      <c r="W31" s="63" t="s">
        <v>79</v>
      </c>
      <c r="X31" s="63" t="s">
        <v>80</v>
      </c>
      <c r="Y31" s="63" t="s">
        <v>81</v>
      </c>
      <c r="Z31" s="63" t="s">
        <v>82</v>
      </c>
      <c r="AA31" s="63" t="s">
        <v>83</v>
      </c>
      <c r="AB31" s="63" t="s">
        <v>84</v>
      </c>
      <c r="AC31" s="63" t="s">
        <v>85</v>
      </c>
      <c r="AD31" s="63" t="s">
        <v>86</v>
      </c>
      <c r="AE31" s="63" t="s">
        <v>87</v>
      </c>
      <c r="AF31" s="63" t="s">
        <v>88</v>
      </c>
      <c r="AG31" s="63" t="s">
        <v>89</v>
      </c>
      <c r="AH31" s="63" t="s">
        <v>90</v>
      </c>
      <c r="AI31" s="63" t="s">
        <v>91</v>
      </c>
      <c r="AJ31" s="63" t="s">
        <v>92</v>
      </c>
      <c r="AK31" s="63" t="s">
        <v>93</v>
      </c>
      <c r="AL31" s="63" t="s">
        <v>94</v>
      </c>
      <c r="AM31" s="63" t="s">
        <v>95</v>
      </c>
      <c r="AN31" s="63" t="s">
        <v>96</v>
      </c>
      <c r="AO31" s="64" t="s">
        <v>97</v>
      </c>
      <c r="AP31" s="62" t="s">
        <v>74</v>
      </c>
      <c r="AQ31" s="63" t="s">
        <v>75</v>
      </c>
      <c r="AR31" s="63" t="s">
        <v>76</v>
      </c>
      <c r="AS31" s="63" t="s">
        <v>77</v>
      </c>
      <c r="AT31" s="63" t="s">
        <v>78</v>
      </c>
      <c r="AU31" s="63" t="s">
        <v>79</v>
      </c>
      <c r="AV31" s="63" t="s">
        <v>80</v>
      </c>
      <c r="AW31" s="63" t="s">
        <v>81</v>
      </c>
      <c r="AX31" s="63" t="s">
        <v>82</v>
      </c>
      <c r="AY31" s="63" t="s">
        <v>83</v>
      </c>
      <c r="AZ31" s="63" t="s">
        <v>84</v>
      </c>
      <c r="BA31" s="63" t="s">
        <v>85</v>
      </c>
      <c r="BB31" s="63" t="s">
        <v>86</v>
      </c>
      <c r="BC31" s="63" t="s">
        <v>87</v>
      </c>
      <c r="BD31" s="63" t="s">
        <v>88</v>
      </c>
      <c r="BE31" s="63" t="s">
        <v>89</v>
      </c>
      <c r="BF31" s="63" t="s">
        <v>90</v>
      </c>
      <c r="BG31" s="63" t="s">
        <v>91</v>
      </c>
      <c r="BH31" s="63" t="s">
        <v>92</v>
      </c>
      <c r="BI31" s="63" t="s">
        <v>93</v>
      </c>
      <c r="BJ31" s="63" t="s">
        <v>94</v>
      </c>
      <c r="BK31" s="63" t="s">
        <v>95</v>
      </c>
      <c r="BL31" s="63" t="s">
        <v>96</v>
      </c>
      <c r="BM31" s="64" t="s">
        <v>97</v>
      </c>
      <c r="BN31" s="41" t="s">
        <v>44</v>
      </c>
      <c r="BO31" s="42" t="s">
        <v>45</v>
      </c>
      <c r="BP31" s="42" t="s">
        <v>46</v>
      </c>
      <c r="BQ31" s="42" t="s">
        <v>47</v>
      </c>
      <c r="BR31" s="42" t="s">
        <v>46</v>
      </c>
      <c r="BS31" s="42" t="s">
        <v>44</v>
      </c>
      <c r="BT31" s="42" t="s">
        <v>48</v>
      </c>
      <c r="BU31" s="42" t="s">
        <v>49</v>
      </c>
      <c r="BV31" s="42" t="s">
        <v>50</v>
      </c>
      <c r="BW31" s="42" t="s">
        <v>51</v>
      </c>
      <c r="BX31" s="42" t="s">
        <v>52</v>
      </c>
      <c r="BY31" s="43" t="s">
        <v>53</v>
      </c>
      <c r="BZ31" s="15" t="s">
        <v>6</v>
      </c>
      <c r="CA31" s="15" t="s">
        <v>13</v>
      </c>
      <c r="CB31" s="12" t="s">
        <v>23</v>
      </c>
      <c r="CC31" s="17" t="s">
        <v>24</v>
      </c>
      <c r="CD31" s="32" t="s">
        <v>38</v>
      </c>
      <c r="CE31" s="41" t="s">
        <v>33</v>
      </c>
      <c r="CF31" s="42" t="s">
        <v>34</v>
      </c>
      <c r="CG31" s="42" t="s">
        <v>136</v>
      </c>
      <c r="CH31" s="41" t="s">
        <v>33</v>
      </c>
      <c r="CI31" s="43" t="s">
        <v>140</v>
      </c>
      <c r="CJ31" s="41" t="s">
        <v>33</v>
      </c>
      <c r="CK31" s="42" t="s">
        <v>34</v>
      </c>
      <c r="CL31" s="42" t="s">
        <v>136</v>
      </c>
      <c r="CM31" s="41" t="s">
        <v>33</v>
      </c>
      <c r="CN31" s="43" t="s">
        <v>140</v>
      </c>
      <c r="CO31" s="35"/>
    </row>
    <row r="32" spans="1:93" s="55" customFormat="1" ht="6.75" customHeight="1" x14ac:dyDescent="0.25">
      <c r="A32" s="54">
        <v>1</v>
      </c>
      <c r="B32" s="54">
        <v>2</v>
      </c>
      <c r="C32" s="54">
        <v>3</v>
      </c>
      <c r="D32" s="54">
        <v>4</v>
      </c>
      <c r="E32" s="54">
        <v>5</v>
      </c>
      <c r="F32" s="54">
        <v>6</v>
      </c>
      <c r="G32" s="54">
        <v>7</v>
      </c>
      <c r="H32" s="54">
        <v>8</v>
      </c>
      <c r="I32" s="54">
        <v>9</v>
      </c>
      <c r="J32" s="54">
        <v>10</v>
      </c>
      <c r="K32" s="54">
        <v>11</v>
      </c>
      <c r="L32" s="54">
        <v>12</v>
      </c>
      <c r="M32" s="54">
        <v>13</v>
      </c>
      <c r="N32" s="54">
        <v>14</v>
      </c>
      <c r="O32" s="54">
        <v>15</v>
      </c>
      <c r="P32" s="54">
        <v>16</v>
      </c>
      <c r="Q32" s="54">
        <v>17</v>
      </c>
      <c r="R32" s="54">
        <v>18</v>
      </c>
      <c r="S32" s="54">
        <v>19</v>
      </c>
      <c r="T32" s="54">
        <v>20</v>
      </c>
      <c r="U32" s="54">
        <v>21</v>
      </c>
      <c r="V32" s="54">
        <v>22</v>
      </c>
      <c r="W32" s="54">
        <v>23</v>
      </c>
      <c r="X32" s="54">
        <v>24</v>
      </c>
      <c r="Y32" s="54">
        <v>25</v>
      </c>
      <c r="Z32" s="54">
        <v>26</v>
      </c>
      <c r="AA32" s="54">
        <v>27</v>
      </c>
      <c r="AB32" s="54">
        <v>28</v>
      </c>
      <c r="AC32" s="54">
        <v>29</v>
      </c>
      <c r="AD32" s="54">
        <v>30</v>
      </c>
      <c r="AE32" s="54">
        <v>31</v>
      </c>
      <c r="AF32" s="54">
        <v>32</v>
      </c>
      <c r="AG32" s="54">
        <v>33</v>
      </c>
      <c r="AH32" s="54">
        <v>34</v>
      </c>
      <c r="AI32" s="54">
        <v>35</v>
      </c>
      <c r="AJ32" s="54">
        <v>36</v>
      </c>
      <c r="AK32" s="54">
        <v>37</v>
      </c>
      <c r="AL32" s="54">
        <v>38</v>
      </c>
      <c r="AM32" s="54">
        <v>39</v>
      </c>
      <c r="AN32" s="54">
        <v>40</v>
      </c>
      <c r="AO32" s="54">
        <v>41</v>
      </c>
      <c r="AP32" s="54">
        <v>42</v>
      </c>
      <c r="AQ32" s="54">
        <v>43</v>
      </c>
      <c r="AR32" s="54">
        <v>44</v>
      </c>
      <c r="AS32" s="54">
        <v>45</v>
      </c>
      <c r="AT32" s="54">
        <v>46</v>
      </c>
      <c r="AU32" s="54">
        <v>47</v>
      </c>
      <c r="AV32" s="54">
        <v>48</v>
      </c>
      <c r="AW32" s="54">
        <v>49</v>
      </c>
      <c r="AX32" s="54">
        <v>50</v>
      </c>
      <c r="AY32" s="54">
        <v>51</v>
      </c>
      <c r="AZ32" s="54">
        <v>52</v>
      </c>
      <c r="BA32" s="54">
        <v>53</v>
      </c>
      <c r="BB32" s="54">
        <v>54</v>
      </c>
      <c r="BC32" s="54">
        <v>55</v>
      </c>
      <c r="BD32" s="54">
        <v>56</v>
      </c>
      <c r="BE32" s="54">
        <v>57</v>
      </c>
      <c r="BF32" s="54">
        <v>58</v>
      </c>
      <c r="BG32" s="54">
        <v>59</v>
      </c>
      <c r="BH32" s="54">
        <v>60</v>
      </c>
      <c r="BI32" s="54">
        <v>61</v>
      </c>
      <c r="BJ32" s="54">
        <v>62</v>
      </c>
      <c r="BK32" s="54">
        <v>63</v>
      </c>
      <c r="BL32" s="54">
        <v>64</v>
      </c>
      <c r="BM32" s="54">
        <v>65</v>
      </c>
      <c r="BN32" s="54">
        <v>66</v>
      </c>
      <c r="BO32" s="54">
        <v>67</v>
      </c>
      <c r="BP32" s="54">
        <v>68</v>
      </c>
      <c r="BQ32" s="54">
        <v>69</v>
      </c>
      <c r="BR32" s="54">
        <v>70</v>
      </c>
      <c r="BS32" s="54">
        <v>71</v>
      </c>
      <c r="BT32" s="54">
        <v>72</v>
      </c>
      <c r="BU32" s="54">
        <v>73</v>
      </c>
      <c r="BV32" s="54">
        <v>74</v>
      </c>
      <c r="BW32" s="54">
        <v>75</v>
      </c>
      <c r="BX32" s="54">
        <v>76</v>
      </c>
      <c r="BY32" s="54">
        <v>77</v>
      </c>
      <c r="BZ32" s="54">
        <v>78</v>
      </c>
      <c r="CA32" s="54">
        <v>79</v>
      </c>
      <c r="CB32" s="54">
        <v>80</v>
      </c>
      <c r="CC32" s="54">
        <v>81</v>
      </c>
      <c r="CD32" s="54">
        <v>82</v>
      </c>
      <c r="CE32" s="54">
        <v>83</v>
      </c>
      <c r="CF32" s="54">
        <v>84</v>
      </c>
      <c r="CG32" s="54">
        <v>85</v>
      </c>
      <c r="CH32" s="54">
        <v>86</v>
      </c>
      <c r="CI32" s="54">
        <v>87</v>
      </c>
      <c r="CJ32" s="54">
        <v>88</v>
      </c>
      <c r="CK32" s="54">
        <v>89</v>
      </c>
      <c r="CL32" s="54">
        <v>90</v>
      </c>
      <c r="CM32" s="54">
        <v>91</v>
      </c>
      <c r="CN32" s="54">
        <v>92</v>
      </c>
      <c r="CO32" s="54">
        <v>93</v>
      </c>
    </row>
    <row r="33" spans="1:93" x14ac:dyDescent="0.25">
      <c r="A33" s="83" t="s">
        <v>213</v>
      </c>
      <c r="B33" s="249">
        <v>-10.88</v>
      </c>
      <c r="C33" s="11">
        <v>12.27</v>
      </c>
      <c r="D33" s="11">
        <v>0</v>
      </c>
      <c r="E33" s="11">
        <v>0</v>
      </c>
      <c r="F33" s="11">
        <v>0</v>
      </c>
      <c r="G33" s="11">
        <v>12.27</v>
      </c>
      <c r="H33" s="11">
        <v>0</v>
      </c>
      <c r="I33" s="11">
        <v>0</v>
      </c>
      <c r="J33" s="11">
        <v>0</v>
      </c>
      <c r="K33" s="11">
        <v>0</v>
      </c>
      <c r="L33" s="11">
        <v>0</v>
      </c>
      <c r="M33" s="11">
        <v>0.12139999999999999</v>
      </c>
      <c r="N33" s="11">
        <v>0</v>
      </c>
      <c r="O33" s="11">
        <v>0</v>
      </c>
      <c r="P33" s="11">
        <v>0.12139999999999999</v>
      </c>
      <c r="Q33" s="30">
        <v>42856</v>
      </c>
      <c r="R33" s="13" t="s">
        <v>22</v>
      </c>
      <c r="S33" s="13" t="s">
        <v>22</v>
      </c>
      <c r="T33" s="13" t="s">
        <v>22</v>
      </c>
      <c r="U33" s="13" t="s">
        <v>22</v>
      </c>
      <c r="V33" s="13" t="s">
        <v>22</v>
      </c>
      <c r="W33" s="13" t="s">
        <v>22</v>
      </c>
      <c r="X33" s="13" t="s">
        <v>22</v>
      </c>
      <c r="Y33" s="13" t="s">
        <v>22</v>
      </c>
      <c r="Z33" s="13" t="s">
        <v>22</v>
      </c>
      <c r="AA33" s="13" t="s">
        <v>22</v>
      </c>
      <c r="AB33" s="13" t="s">
        <v>22</v>
      </c>
      <c r="AC33" s="13" t="s">
        <v>22</v>
      </c>
      <c r="AD33" s="13" t="s">
        <v>22</v>
      </c>
      <c r="AE33" s="13" t="s">
        <v>22</v>
      </c>
      <c r="AF33" s="13" t="s">
        <v>22</v>
      </c>
      <c r="AG33" s="13" t="s">
        <v>22</v>
      </c>
      <c r="AH33" s="13" t="s">
        <v>22</v>
      </c>
      <c r="AI33" s="13" t="s">
        <v>22</v>
      </c>
      <c r="AJ33" s="13" t="s">
        <v>22</v>
      </c>
      <c r="AK33" s="13" t="s">
        <v>22</v>
      </c>
      <c r="AL33" s="13" t="s">
        <v>22</v>
      </c>
      <c r="AM33" s="13" t="s">
        <v>22</v>
      </c>
      <c r="AN33" s="13" t="s">
        <v>22</v>
      </c>
      <c r="AO33" s="162" t="s">
        <v>22</v>
      </c>
      <c r="AP33" s="107" t="s">
        <v>22</v>
      </c>
      <c r="AQ33" s="13" t="s">
        <v>22</v>
      </c>
      <c r="AR33" s="13" t="s">
        <v>22</v>
      </c>
      <c r="AS33" s="13" t="s">
        <v>22</v>
      </c>
      <c r="AT33" s="13" t="s">
        <v>22</v>
      </c>
      <c r="AU33" s="13" t="s">
        <v>22</v>
      </c>
      <c r="AV33" s="13" t="s">
        <v>22</v>
      </c>
      <c r="AW33" s="13" t="s">
        <v>22</v>
      </c>
      <c r="AX33" s="13" t="s">
        <v>22</v>
      </c>
      <c r="AY33" s="13" t="s">
        <v>22</v>
      </c>
      <c r="AZ33" s="13" t="s">
        <v>22</v>
      </c>
      <c r="BA33" s="13" t="s">
        <v>22</v>
      </c>
      <c r="BB33" s="13" t="s">
        <v>22</v>
      </c>
      <c r="BC33" s="13" t="s">
        <v>22</v>
      </c>
      <c r="BD33" s="13" t="s">
        <v>22</v>
      </c>
      <c r="BE33" s="13" t="s">
        <v>22</v>
      </c>
      <c r="BF33" s="13" t="s">
        <v>22</v>
      </c>
      <c r="BG33" s="13" t="s">
        <v>22</v>
      </c>
      <c r="BH33" s="13" t="s">
        <v>22</v>
      </c>
      <c r="BI33" s="13" t="s">
        <v>22</v>
      </c>
      <c r="BJ33" s="13" t="s">
        <v>22</v>
      </c>
      <c r="BK33" s="13" t="s">
        <v>22</v>
      </c>
      <c r="BL33" s="13" t="s">
        <v>22</v>
      </c>
      <c r="BM33" s="13" t="s">
        <v>22</v>
      </c>
      <c r="BN33" s="13">
        <v>1</v>
      </c>
      <c r="BO33" s="13">
        <v>1</v>
      </c>
      <c r="BP33" s="13">
        <v>1</v>
      </c>
      <c r="BQ33" s="13">
        <v>1</v>
      </c>
      <c r="BR33" s="13">
        <v>1</v>
      </c>
      <c r="BS33" s="13">
        <v>1</v>
      </c>
      <c r="BT33" s="13">
        <v>1</v>
      </c>
      <c r="BU33" s="13">
        <v>1</v>
      </c>
      <c r="BV33" s="13">
        <v>1</v>
      </c>
      <c r="BW33" s="13">
        <v>1</v>
      </c>
      <c r="BX33" s="13">
        <v>1</v>
      </c>
      <c r="BY33" s="13">
        <v>1</v>
      </c>
      <c r="BZ33" s="109">
        <f t="shared" ref="BZ33:BZ47" si="9">+SUM(BN33:BY33)</f>
        <v>12</v>
      </c>
      <c r="CA33" s="1" t="s">
        <v>214</v>
      </c>
      <c r="CB33" s="21">
        <v>0</v>
      </c>
      <c r="CC33" s="21">
        <v>200</v>
      </c>
      <c r="CD33" s="20" t="s">
        <v>39</v>
      </c>
      <c r="CE33" s="11"/>
      <c r="CF33" s="11"/>
      <c r="CG33" s="11"/>
      <c r="CH33" s="105"/>
      <c r="CI33" s="11"/>
      <c r="CJ33" s="11"/>
      <c r="CK33" s="11"/>
      <c r="CL33" s="11"/>
      <c r="CM33" s="105"/>
      <c r="CN33" s="11"/>
      <c r="CO33" t="s">
        <v>354</v>
      </c>
    </row>
    <row r="34" spans="1:93" x14ac:dyDescent="0.25">
      <c r="A34" s="83" t="s">
        <v>215</v>
      </c>
      <c r="B34" s="249">
        <v>-0.09</v>
      </c>
      <c r="C34" s="11">
        <v>15.65</v>
      </c>
      <c r="D34" s="11">
        <v>0</v>
      </c>
      <c r="E34" s="11">
        <v>0</v>
      </c>
      <c r="F34" s="11">
        <v>0</v>
      </c>
      <c r="G34" s="11">
        <v>15.65</v>
      </c>
      <c r="H34" s="11">
        <v>0</v>
      </c>
      <c r="I34" s="11">
        <v>0</v>
      </c>
      <c r="J34" s="11">
        <v>0</v>
      </c>
      <c r="K34" s="11">
        <v>0.1135</v>
      </c>
      <c r="L34" s="11">
        <v>0.1135</v>
      </c>
      <c r="M34" s="11">
        <v>0.1135</v>
      </c>
      <c r="N34" s="11">
        <v>0.1135</v>
      </c>
      <c r="O34" s="11">
        <v>0.1135</v>
      </c>
      <c r="P34" s="11">
        <v>0.1135</v>
      </c>
      <c r="Q34" s="30">
        <v>42856</v>
      </c>
      <c r="R34" s="13" t="s">
        <v>22</v>
      </c>
      <c r="S34" s="13" t="s">
        <v>22</v>
      </c>
      <c r="T34" s="13" t="s">
        <v>22</v>
      </c>
      <c r="U34" s="13" t="s">
        <v>22</v>
      </c>
      <c r="V34" s="13" t="s">
        <v>22</v>
      </c>
      <c r="W34" s="13" t="s">
        <v>22</v>
      </c>
      <c r="X34" s="13" t="s">
        <v>22</v>
      </c>
      <c r="Y34" s="13" t="s">
        <v>22</v>
      </c>
      <c r="Z34" s="13" t="s">
        <v>22</v>
      </c>
      <c r="AA34" s="13" t="s">
        <v>22</v>
      </c>
      <c r="AB34" s="13" t="s">
        <v>22</v>
      </c>
      <c r="AC34" s="13" t="s">
        <v>22</v>
      </c>
      <c r="AD34" s="13" t="s">
        <v>22</v>
      </c>
      <c r="AE34" s="13" t="s">
        <v>22</v>
      </c>
      <c r="AF34" s="13" t="s">
        <v>22</v>
      </c>
      <c r="AG34" s="13" t="s">
        <v>22</v>
      </c>
      <c r="AH34" s="13" t="s">
        <v>22</v>
      </c>
      <c r="AI34" s="13" t="s">
        <v>22</v>
      </c>
      <c r="AJ34" s="13" t="s">
        <v>22</v>
      </c>
      <c r="AK34" s="13" t="s">
        <v>22</v>
      </c>
      <c r="AL34" s="13" t="s">
        <v>22</v>
      </c>
      <c r="AM34" s="13" t="s">
        <v>22</v>
      </c>
      <c r="AN34" s="13" t="s">
        <v>22</v>
      </c>
      <c r="AO34" s="162" t="s">
        <v>22</v>
      </c>
      <c r="AP34" s="107" t="s">
        <v>22</v>
      </c>
      <c r="AQ34" s="13" t="s">
        <v>22</v>
      </c>
      <c r="AR34" s="13" t="s">
        <v>22</v>
      </c>
      <c r="AS34" s="13" t="s">
        <v>22</v>
      </c>
      <c r="AT34" s="13" t="s">
        <v>22</v>
      </c>
      <c r="AU34" s="13" t="s">
        <v>22</v>
      </c>
      <c r="AV34" s="13" t="s">
        <v>22</v>
      </c>
      <c r="AW34" s="13" t="s">
        <v>22</v>
      </c>
      <c r="AX34" s="13" t="s">
        <v>22</v>
      </c>
      <c r="AY34" s="13" t="s">
        <v>22</v>
      </c>
      <c r="AZ34" s="13" t="s">
        <v>22</v>
      </c>
      <c r="BA34" s="13" t="s">
        <v>22</v>
      </c>
      <c r="BB34" s="13" t="s">
        <v>22</v>
      </c>
      <c r="BC34" s="13" t="s">
        <v>22</v>
      </c>
      <c r="BD34" s="13" t="s">
        <v>22</v>
      </c>
      <c r="BE34" s="13" t="s">
        <v>22</v>
      </c>
      <c r="BF34" s="13" t="s">
        <v>22</v>
      </c>
      <c r="BG34" s="13" t="s">
        <v>22</v>
      </c>
      <c r="BH34" s="13" t="s">
        <v>22</v>
      </c>
      <c r="BI34" s="13" t="s">
        <v>22</v>
      </c>
      <c r="BJ34" s="13" t="s">
        <v>22</v>
      </c>
      <c r="BK34" s="13" t="s">
        <v>22</v>
      </c>
      <c r="BL34" s="13" t="s">
        <v>22</v>
      </c>
      <c r="BM34" s="13" t="s">
        <v>22</v>
      </c>
      <c r="BN34" s="13">
        <v>1</v>
      </c>
      <c r="BO34" s="13">
        <v>1</v>
      </c>
      <c r="BP34" s="13">
        <v>1</v>
      </c>
      <c r="BQ34" s="13">
        <v>1</v>
      </c>
      <c r="BR34" s="13">
        <v>1</v>
      </c>
      <c r="BS34" s="13">
        <v>1</v>
      </c>
      <c r="BT34" s="13">
        <v>1</v>
      </c>
      <c r="BU34" s="13">
        <v>1</v>
      </c>
      <c r="BV34" s="13">
        <v>1</v>
      </c>
      <c r="BW34" s="13">
        <v>1</v>
      </c>
      <c r="BX34" s="13">
        <v>1</v>
      </c>
      <c r="BY34" s="13">
        <v>1</v>
      </c>
      <c r="BZ34" s="109">
        <f t="shared" si="9"/>
        <v>12</v>
      </c>
      <c r="CA34" s="1" t="s">
        <v>216</v>
      </c>
      <c r="CB34" s="21">
        <v>200</v>
      </c>
      <c r="CC34" s="21">
        <v>500</v>
      </c>
      <c r="CD34" s="20" t="s">
        <v>37</v>
      </c>
      <c r="CE34" s="11">
        <v>0.1135</v>
      </c>
      <c r="CF34" s="11">
        <v>8.3500000000000005E-2</v>
      </c>
      <c r="CG34" s="11"/>
      <c r="CH34" s="105">
        <f>540*200</f>
        <v>108000</v>
      </c>
      <c r="CI34" s="11"/>
      <c r="CJ34" s="11"/>
      <c r="CK34" s="11"/>
      <c r="CL34" s="11"/>
      <c r="CM34" s="105"/>
      <c r="CN34" s="11"/>
      <c r="CO34" t="s">
        <v>355</v>
      </c>
    </row>
    <row r="35" spans="1:93" x14ac:dyDescent="0.25">
      <c r="A35" s="83" t="s">
        <v>217</v>
      </c>
      <c r="B35" s="249">
        <v>342.12</v>
      </c>
      <c r="C35" s="11">
        <v>8.66</v>
      </c>
      <c r="D35" s="11">
        <v>15.68</v>
      </c>
      <c r="E35" s="11">
        <v>5.47</v>
      </c>
      <c r="F35" s="11">
        <v>0</v>
      </c>
      <c r="G35" s="11">
        <v>8.66</v>
      </c>
      <c r="H35" s="11">
        <v>0</v>
      </c>
      <c r="I35" s="11">
        <v>5.74</v>
      </c>
      <c r="J35" s="11">
        <v>0</v>
      </c>
      <c r="K35" s="11">
        <v>0.14799999999999999</v>
      </c>
      <c r="L35" s="11">
        <v>0.1171</v>
      </c>
      <c r="M35" s="11">
        <v>7.8700000000000006E-2</v>
      </c>
      <c r="N35" s="11">
        <v>0</v>
      </c>
      <c r="O35" s="11">
        <v>0.12479999999999999</v>
      </c>
      <c r="P35" s="11">
        <v>7.8700000000000006E-2</v>
      </c>
      <c r="Q35" s="30">
        <v>42856</v>
      </c>
      <c r="R35" s="13" t="s">
        <v>21</v>
      </c>
      <c r="S35" s="13" t="s">
        <v>20</v>
      </c>
      <c r="T35" s="13" t="s">
        <v>20</v>
      </c>
      <c r="U35" s="13" t="s">
        <v>20</v>
      </c>
      <c r="V35" s="13" t="s">
        <v>20</v>
      </c>
      <c r="W35" s="13" t="s">
        <v>21</v>
      </c>
      <c r="X35" s="13" t="s">
        <v>21</v>
      </c>
      <c r="Y35" s="13" t="s">
        <v>21</v>
      </c>
      <c r="Z35" s="13" t="s">
        <v>21</v>
      </c>
      <c r="AA35" s="13" t="s">
        <v>21</v>
      </c>
      <c r="AB35" s="13" t="s">
        <v>22</v>
      </c>
      <c r="AC35" s="13" t="s">
        <v>22</v>
      </c>
      <c r="AD35" s="13" t="s">
        <v>22</v>
      </c>
      <c r="AE35" s="13" t="s">
        <v>22</v>
      </c>
      <c r="AF35" s="13" t="s">
        <v>22</v>
      </c>
      <c r="AG35" s="13" t="s">
        <v>22</v>
      </c>
      <c r="AH35" s="13" t="s">
        <v>22</v>
      </c>
      <c r="AI35" s="13" t="s">
        <v>22</v>
      </c>
      <c r="AJ35" s="13" t="s">
        <v>22</v>
      </c>
      <c r="AK35" s="13" t="s">
        <v>22</v>
      </c>
      <c r="AL35" s="13" t="s">
        <v>21</v>
      </c>
      <c r="AM35" s="13" t="s">
        <v>21</v>
      </c>
      <c r="AN35" s="13" t="s">
        <v>21</v>
      </c>
      <c r="AO35" s="161" t="s">
        <v>21</v>
      </c>
      <c r="AP35" s="162" t="s">
        <v>21</v>
      </c>
      <c r="AQ35" s="13" t="s">
        <v>21</v>
      </c>
      <c r="AR35" s="13" t="s">
        <v>21</v>
      </c>
      <c r="AS35" s="13" t="s">
        <v>21</v>
      </c>
      <c r="AT35" s="13" t="s">
        <v>21</v>
      </c>
      <c r="AU35" s="13" t="s">
        <v>21</v>
      </c>
      <c r="AV35" s="13" t="s">
        <v>21</v>
      </c>
      <c r="AW35" s="13" t="s">
        <v>21</v>
      </c>
      <c r="AX35" s="13" t="s">
        <v>21</v>
      </c>
      <c r="AY35" s="13" t="s">
        <v>21</v>
      </c>
      <c r="AZ35" s="13" t="s">
        <v>22</v>
      </c>
      <c r="BA35" s="13" t="s">
        <v>22</v>
      </c>
      <c r="BB35" s="13" t="s">
        <v>22</v>
      </c>
      <c r="BC35" s="13" t="s">
        <v>22</v>
      </c>
      <c r="BD35" s="13" t="s">
        <v>22</v>
      </c>
      <c r="BE35" s="13" t="s">
        <v>22</v>
      </c>
      <c r="BF35" s="13" t="s">
        <v>22</v>
      </c>
      <c r="BG35" s="13" t="s">
        <v>22</v>
      </c>
      <c r="BH35" s="13" t="s">
        <v>22</v>
      </c>
      <c r="BI35" s="13" t="s">
        <v>21</v>
      </c>
      <c r="BJ35" s="13" t="s">
        <v>21</v>
      </c>
      <c r="BK35" s="13" t="s">
        <v>21</v>
      </c>
      <c r="BL35" s="13" t="s">
        <v>21</v>
      </c>
      <c r="BM35" s="13" t="s">
        <v>21</v>
      </c>
      <c r="BN35" s="13">
        <v>0</v>
      </c>
      <c r="BO35" s="13">
        <v>0</v>
      </c>
      <c r="BP35" s="13">
        <v>0</v>
      </c>
      <c r="BQ35" s="13">
        <v>0</v>
      </c>
      <c r="BR35" s="13">
        <v>0</v>
      </c>
      <c r="BS35" s="13">
        <v>1</v>
      </c>
      <c r="BT35" s="13">
        <v>1</v>
      </c>
      <c r="BU35" s="13">
        <v>1</v>
      </c>
      <c r="BV35" s="13">
        <v>1</v>
      </c>
      <c r="BW35" s="13">
        <v>0</v>
      </c>
      <c r="BX35" s="13">
        <v>0</v>
      </c>
      <c r="BY35" s="13">
        <v>0</v>
      </c>
      <c r="BZ35" s="109">
        <f t="shared" si="9"/>
        <v>4</v>
      </c>
      <c r="CA35" s="1" t="s">
        <v>28</v>
      </c>
      <c r="CB35" s="21">
        <v>500</v>
      </c>
      <c r="CC35" s="21" t="s">
        <v>15</v>
      </c>
      <c r="CD35" s="20" t="s">
        <v>39</v>
      </c>
      <c r="CE35" s="11"/>
      <c r="CF35" s="11"/>
      <c r="CG35" s="11"/>
      <c r="CH35" s="105"/>
      <c r="CI35" s="11"/>
      <c r="CJ35" s="11"/>
      <c r="CK35" s="11"/>
      <c r="CL35" s="11"/>
      <c r="CM35" s="105"/>
      <c r="CN35" s="11"/>
    </row>
    <row r="36" spans="1:93" x14ac:dyDescent="0.25">
      <c r="A36" s="83" t="s">
        <v>309</v>
      </c>
      <c r="B36" s="249">
        <v>112.54</v>
      </c>
      <c r="C36" s="11">
        <v>10.68</v>
      </c>
      <c r="D36" s="11">
        <v>0</v>
      </c>
      <c r="E36" s="11">
        <v>0</v>
      </c>
      <c r="F36" s="11">
        <v>0</v>
      </c>
      <c r="G36" s="11">
        <v>10.68</v>
      </c>
      <c r="H36" s="11">
        <v>0</v>
      </c>
      <c r="I36" s="11">
        <v>0</v>
      </c>
      <c r="J36" s="11">
        <v>0</v>
      </c>
      <c r="K36" s="11">
        <v>0.20910000000000001</v>
      </c>
      <c r="L36" s="11">
        <v>0.13070000000000001</v>
      </c>
      <c r="M36" s="11">
        <v>0.1046</v>
      </c>
      <c r="N36" s="11">
        <v>0</v>
      </c>
      <c r="O36" s="11">
        <v>0.13070000000000001</v>
      </c>
      <c r="P36" s="11">
        <v>0.1046</v>
      </c>
      <c r="Q36" s="30">
        <v>43242</v>
      </c>
      <c r="R36" s="13" t="s">
        <v>21</v>
      </c>
      <c r="S36" s="13" t="s">
        <v>21</v>
      </c>
      <c r="T36" s="13" t="s">
        <v>21</v>
      </c>
      <c r="U36" s="13" t="s">
        <v>21</v>
      </c>
      <c r="V36" s="13" t="s">
        <v>20</v>
      </c>
      <c r="W36" s="13" t="s">
        <v>20</v>
      </c>
      <c r="X36" s="13" t="s">
        <v>20</v>
      </c>
      <c r="Y36" s="13" t="s">
        <v>21</v>
      </c>
      <c r="Z36" s="13" t="s">
        <v>21</v>
      </c>
      <c r="AA36" s="13" t="s">
        <v>21</v>
      </c>
      <c r="AB36" s="13" t="s">
        <v>21</v>
      </c>
      <c r="AC36" s="13" t="s">
        <v>22</v>
      </c>
      <c r="AD36" s="13" t="s">
        <v>22</v>
      </c>
      <c r="AE36" s="13" t="s">
        <v>22</v>
      </c>
      <c r="AF36" s="13" t="s">
        <v>22</v>
      </c>
      <c r="AG36" s="13" t="s">
        <v>22</v>
      </c>
      <c r="AH36" s="13" t="s">
        <v>22</v>
      </c>
      <c r="AI36" s="13" t="s">
        <v>22</v>
      </c>
      <c r="AJ36" s="13" t="s">
        <v>22</v>
      </c>
      <c r="AK36" s="13" t="s">
        <v>22</v>
      </c>
      <c r="AL36" s="13" t="s">
        <v>21</v>
      </c>
      <c r="AM36" s="13" t="s">
        <v>21</v>
      </c>
      <c r="AN36" s="13" t="s">
        <v>21</v>
      </c>
      <c r="AO36" s="161" t="s">
        <v>21</v>
      </c>
      <c r="AP36" s="13" t="s">
        <v>21</v>
      </c>
      <c r="AQ36" s="13" t="s">
        <v>21</v>
      </c>
      <c r="AR36" s="13" t="s">
        <v>21</v>
      </c>
      <c r="AS36" s="13" t="s">
        <v>21</v>
      </c>
      <c r="AT36" s="13" t="s">
        <v>20</v>
      </c>
      <c r="AU36" s="13" t="s">
        <v>20</v>
      </c>
      <c r="AV36" s="13" t="s">
        <v>20</v>
      </c>
      <c r="AW36" s="13" t="s">
        <v>21</v>
      </c>
      <c r="AX36" s="13" t="s">
        <v>21</v>
      </c>
      <c r="AY36" s="13" t="s">
        <v>21</v>
      </c>
      <c r="AZ36" s="13" t="s">
        <v>21</v>
      </c>
      <c r="BA36" s="13" t="s">
        <v>22</v>
      </c>
      <c r="BB36" s="13" t="s">
        <v>22</v>
      </c>
      <c r="BC36" s="13" t="s">
        <v>22</v>
      </c>
      <c r="BD36" s="13" t="s">
        <v>22</v>
      </c>
      <c r="BE36" s="13" t="s">
        <v>22</v>
      </c>
      <c r="BF36" s="13" t="s">
        <v>22</v>
      </c>
      <c r="BG36" s="13" t="s">
        <v>22</v>
      </c>
      <c r="BH36" s="13" t="s">
        <v>22</v>
      </c>
      <c r="BI36" s="13" t="s">
        <v>22</v>
      </c>
      <c r="BJ36" s="13" t="s">
        <v>21</v>
      </c>
      <c r="BK36" s="13" t="s">
        <v>21</v>
      </c>
      <c r="BL36" s="13" t="s">
        <v>21</v>
      </c>
      <c r="BM36" s="13" t="s">
        <v>21</v>
      </c>
      <c r="BN36" s="13">
        <v>0</v>
      </c>
      <c r="BO36" s="13">
        <v>0</v>
      </c>
      <c r="BP36" s="13">
        <v>0</v>
      </c>
      <c r="BQ36" s="13">
        <v>0</v>
      </c>
      <c r="BR36" s="13">
        <v>0</v>
      </c>
      <c r="BS36" s="13">
        <v>1</v>
      </c>
      <c r="BT36" s="13">
        <v>1</v>
      </c>
      <c r="BU36" s="13">
        <v>1</v>
      </c>
      <c r="BV36" s="13">
        <v>1</v>
      </c>
      <c r="BW36" s="13">
        <v>1</v>
      </c>
      <c r="BX36" s="13">
        <v>0</v>
      </c>
      <c r="BY36" s="13">
        <v>0</v>
      </c>
      <c r="BZ36" s="109">
        <v>5</v>
      </c>
      <c r="CA36" s="1" t="s">
        <v>310</v>
      </c>
      <c r="CB36" s="21">
        <v>20</v>
      </c>
      <c r="CC36" s="21">
        <v>250</v>
      </c>
      <c r="CD36" s="20" t="s">
        <v>39</v>
      </c>
      <c r="CE36" s="11"/>
      <c r="CF36" s="11"/>
      <c r="CG36" s="11"/>
      <c r="CH36" s="105"/>
      <c r="CI36" s="11"/>
      <c r="CJ36" s="11"/>
      <c r="CK36" s="11"/>
      <c r="CL36" s="11"/>
      <c r="CM36" s="105"/>
      <c r="CN36" s="11"/>
    </row>
    <row r="37" spans="1:93" x14ac:dyDescent="0.25">
      <c r="A37" s="83" t="s">
        <v>311</v>
      </c>
      <c r="B37" s="249">
        <v>3196.14</v>
      </c>
      <c r="C37" s="11">
        <f>10.99+8.18</f>
        <v>19.170000000000002</v>
      </c>
      <c r="D37" s="11">
        <v>0</v>
      </c>
      <c r="E37" s="11">
        <v>0</v>
      </c>
      <c r="F37" s="11">
        <v>0</v>
      </c>
      <c r="G37" s="11">
        <f>10.99+8.18</f>
        <v>19.170000000000002</v>
      </c>
      <c r="H37" s="11">
        <v>0</v>
      </c>
      <c r="I37" s="11">
        <v>0</v>
      </c>
      <c r="J37" s="11">
        <v>0</v>
      </c>
      <c r="K37" s="11">
        <v>0.16950000000000001</v>
      </c>
      <c r="L37" s="11">
        <v>0.10589999999999999</v>
      </c>
      <c r="M37" s="11">
        <v>8.48E-2</v>
      </c>
      <c r="N37" s="11">
        <v>0</v>
      </c>
      <c r="O37" s="11">
        <v>0.10589999999999999</v>
      </c>
      <c r="P37" s="11">
        <v>8.48E-2</v>
      </c>
      <c r="Q37" s="30">
        <v>43242</v>
      </c>
      <c r="R37" s="13" t="s">
        <v>21</v>
      </c>
      <c r="S37" s="13" t="s">
        <v>21</v>
      </c>
      <c r="T37" s="13" t="s">
        <v>21</v>
      </c>
      <c r="U37" s="13" t="s">
        <v>21</v>
      </c>
      <c r="V37" s="13" t="s">
        <v>20</v>
      </c>
      <c r="W37" s="13" t="s">
        <v>20</v>
      </c>
      <c r="X37" s="13" t="s">
        <v>20</v>
      </c>
      <c r="Y37" s="13" t="s">
        <v>21</v>
      </c>
      <c r="Z37" s="13" t="s">
        <v>21</v>
      </c>
      <c r="AA37" s="13" t="s">
        <v>21</v>
      </c>
      <c r="AB37" s="13" t="s">
        <v>21</v>
      </c>
      <c r="AC37" s="13" t="s">
        <v>22</v>
      </c>
      <c r="AD37" s="13" t="s">
        <v>22</v>
      </c>
      <c r="AE37" s="13" t="s">
        <v>22</v>
      </c>
      <c r="AF37" s="13" t="s">
        <v>22</v>
      </c>
      <c r="AG37" s="13" t="s">
        <v>22</v>
      </c>
      <c r="AH37" s="13" t="s">
        <v>22</v>
      </c>
      <c r="AI37" s="13" t="s">
        <v>22</v>
      </c>
      <c r="AJ37" s="13" t="s">
        <v>22</v>
      </c>
      <c r="AK37" s="13" t="s">
        <v>22</v>
      </c>
      <c r="AL37" s="13" t="s">
        <v>21</v>
      </c>
      <c r="AM37" s="13" t="s">
        <v>21</v>
      </c>
      <c r="AN37" s="13" t="s">
        <v>21</v>
      </c>
      <c r="AO37" s="161" t="s">
        <v>21</v>
      </c>
      <c r="AP37" s="13" t="s">
        <v>21</v>
      </c>
      <c r="AQ37" s="13" t="s">
        <v>21</v>
      </c>
      <c r="AR37" s="13" t="s">
        <v>21</v>
      </c>
      <c r="AS37" s="13" t="s">
        <v>21</v>
      </c>
      <c r="AT37" s="13" t="s">
        <v>20</v>
      </c>
      <c r="AU37" s="13" t="s">
        <v>20</v>
      </c>
      <c r="AV37" s="13" t="s">
        <v>20</v>
      </c>
      <c r="AW37" s="13" t="s">
        <v>21</v>
      </c>
      <c r="AX37" s="13" t="s">
        <v>21</v>
      </c>
      <c r="AY37" s="13" t="s">
        <v>21</v>
      </c>
      <c r="AZ37" s="13" t="s">
        <v>21</v>
      </c>
      <c r="BA37" s="13" t="s">
        <v>22</v>
      </c>
      <c r="BB37" s="13" t="s">
        <v>22</v>
      </c>
      <c r="BC37" s="13" t="s">
        <v>22</v>
      </c>
      <c r="BD37" s="13" t="s">
        <v>22</v>
      </c>
      <c r="BE37" s="13" t="s">
        <v>22</v>
      </c>
      <c r="BF37" s="13" t="s">
        <v>22</v>
      </c>
      <c r="BG37" s="13" t="s">
        <v>22</v>
      </c>
      <c r="BH37" s="13" t="s">
        <v>22</v>
      </c>
      <c r="BI37" s="13" t="s">
        <v>22</v>
      </c>
      <c r="BJ37" s="13" t="s">
        <v>21</v>
      </c>
      <c r="BK37" s="13" t="s">
        <v>21</v>
      </c>
      <c r="BL37" s="13" t="s">
        <v>21</v>
      </c>
      <c r="BM37" s="13" t="s">
        <v>21</v>
      </c>
      <c r="BN37" s="13">
        <v>0</v>
      </c>
      <c r="BO37" s="13">
        <v>0</v>
      </c>
      <c r="BP37" s="13">
        <v>0</v>
      </c>
      <c r="BQ37" s="13">
        <v>0</v>
      </c>
      <c r="BR37" s="13">
        <v>0</v>
      </c>
      <c r="BS37" s="13">
        <v>1</v>
      </c>
      <c r="BT37" s="13">
        <v>1</v>
      </c>
      <c r="BU37" s="13">
        <v>1</v>
      </c>
      <c r="BV37" s="13">
        <v>1</v>
      </c>
      <c r="BW37" s="13">
        <v>1</v>
      </c>
      <c r="BX37" s="13">
        <v>0</v>
      </c>
      <c r="BY37" s="13">
        <v>0</v>
      </c>
      <c r="BZ37" s="109">
        <v>5</v>
      </c>
      <c r="CA37" s="1" t="s">
        <v>313</v>
      </c>
      <c r="CB37" s="21">
        <v>250</v>
      </c>
      <c r="CC37" s="21">
        <v>1000</v>
      </c>
      <c r="CD37" s="20" t="s">
        <v>39</v>
      </c>
      <c r="CE37" s="11"/>
      <c r="CF37" s="11"/>
      <c r="CG37" s="11"/>
      <c r="CH37" s="105"/>
      <c r="CI37" s="11"/>
      <c r="CJ37" s="11"/>
      <c r="CK37" s="11"/>
      <c r="CL37" s="11"/>
      <c r="CM37" s="105"/>
      <c r="CN37" s="11"/>
    </row>
    <row r="38" spans="1:93" x14ac:dyDescent="0.25">
      <c r="A38" s="83" t="s">
        <v>312</v>
      </c>
      <c r="B38" s="249">
        <v>15458.94</v>
      </c>
      <c r="C38" s="11">
        <f>10.99+8.18</f>
        <v>19.170000000000002</v>
      </c>
      <c r="D38" s="11">
        <v>0</v>
      </c>
      <c r="E38" s="11">
        <v>0</v>
      </c>
      <c r="F38" s="11">
        <v>0</v>
      </c>
      <c r="G38" s="11">
        <f>10.99+8.18</f>
        <v>19.170000000000002</v>
      </c>
      <c r="H38" s="11">
        <v>0</v>
      </c>
      <c r="I38" s="11">
        <v>0</v>
      </c>
      <c r="J38" s="11">
        <v>0</v>
      </c>
      <c r="K38" s="11">
        <v>0.16950000000000001</v>
      </c>
      <c r="L38" s="11">
        <v>0.10589999999999999</v>
      </c>
      <c r="M38" s="11">
        <v>8.48E-2</v>
      </c>
      <c r="N38" s="11">
        <v>0</v>
      </c>
      <c r="O38" s="11">
        <v>0.10589999999999999</v>
      </c>
      <c r="P38" s="11">
        <v>8.48E-2</v>
      </c>
      <c r="Q38" s="30">
        <v>43242</v>
      </c>
      <c r="R38" s="13" t="s">
        <v>21</v>
      </c>
      <c r="S38" s="13" t="s">
        <v>21</v>
      </c>
      <c r="T38" s="13" t="s">
        <v>21</v>
      </c>
      <c r="U38" s="13" t="s">
        <v>21</v>
      </c>
      <c r="V38" s="13" t="s">
        <v>20</v>
      </c>
      <c r="W38" s="13" t="s">
        <v>20</v>
      </c>
      <c r="X38" s="13" t="s">
        <v>20</v>
      </c>
      <c r="Y38" s="13" t="s">
        <v>21</v>
      </c>
      <c r="Z38" s="13" t="s">
        <v>21</v>
      </c>
      <c r="AA38" s="13" t="s">
        <v>21</v>
      </c>
      <c r="AB38" s="13" t="s">
        <v>21</v>
      </c>
      <c r="AC38" s="13" t="s">
        <v>22</v>
      </c>
      <c r="AD38" s="13" t="s">
        <v>22</v>
      </c>
      <c r="AE38" s="13" t="s">
        <v>22</v>
      </c>
      <c r="AF38" s="13" t="s">
        <v>22</v>
      </c>
      <c r="AG38" s="13" t="s">
        <v>22</v>
      </c>
      <c r="AH38" s="13" t="s">
        <v>22</v>
      </c>
      <c r="AI38" s="13" t="s">
        <v>22</v>
      </c>
      <c r="AJ38" s="13" t="s">
        <v>22</v>
      </c>
      <c r="AK38" s="13" t="s">
        <v>22</v>
      </c>
      <c r="AL38" s="13" t="s">
        <v>21</v>
      </c>
      <c r="AM38" s="13" t="s">
        <v>21</v>
      </c>
      <c r="AN38" s="13" t="s">
        <v>21</v>
      </c>
      <c r="AO38" s="161" t="s">
        <v>21</v>
      </c>
      <c r="AP38" s="13" t="s">
        <v>21</v>
      </c>
      <c r="AQ38" s="13" t="s">
        <v>21</v>
      </c>
      <c r="AR38" s="13" t="s">
        <v>21</v>
      </c>
      <c r="AS38" s="13" t="s">
        <v>21</v>
      </c>
      <c r="AT38" s="13" t="s">
        <v>20</v>
      </c>
      <c r="AU38" s="13" t="s">
        <v>20</v>
      </c>
      <c r="AV38" s="13" t="s">
        <v>20</v>
      </c>
      <c r="AW38" s="13" t="s">
        <v>21</v>
      </c>
      <c r="AX38" s="13" t="s">
        <v>21</v>
      </c>
      <c r="AY38" s="13" t="s">
        <v>21</v>
      </c>
      <c r="AZ38" s="13" t="s">
        <v>21</v>
      </c>
      <c r="BA38" s="13" t="s">
        <v>22</v>
      </c>
      <c r="BB38" s="13" t="s">
        <v>22</v>
      </c>
      <c r="BC38" s="13" t="s">
        <v>22</v>
      </c>
      <c r="BD38" s="13" t="s">
        <v>22</v>
      </c>
      <c r="BE38" s="13" t="s">
        <v>22</v>
      </c>
      <c r="BF38" s="13" t="s">
        <v>22</v>
      </c>
      <c r="BG38" s="13" t="s">
        <v>22</v>
      </c>
      <c r="BH38" s="13" t="s">
        <v>22</v>
      </c>
      <c r="BI38" s="13" t="s">
        <v>22</v>
      </c>
      <c r="BJ38" s="13" t="s">
        <v>21</v>
      </c>
      <c r="BK38" s="13" t="s">
        <v>21</v>
      </c>
      <c r="BL38" s="13" t="s">
        <v>21</v>
      </c>
      <c r="BM38" s="13" t="s">
        <v>21</v>
      </c>
      <c r="BN38" s="13">
        <v>0</v>
      </c>
      <c r="BO38" s="13">
        <v>0</v>
      </c>
      <c r="BP38" s="13">
        <v>0</v>
      </c>
      <c r="BQ38" s="13">
        <v>0</v>
      </c>
      <c r="BR38" s="13">
        <v>0</v>
      </c>
      <c r="BS38" s="13">
        <v>1</v>
      </c>
      <c r="BT38" s="13">
        <v>1</v>
      </c>
      <c r="BU38" s="13">
        <v>1</v>
      </c>
      <c r="BV38" s="13">
        <v>1</v>
      </c>
      <c r="BW38" s="13">
        <v>1</v>
      </c>
      <c r="BX38" s="13">
        <v>0</v>
      </c>
      <c r="BY38" s="13">
        <v>0</v>
      </c>
      <c r="BZ38" s="109">
        <v>5</v>
      </c>
      <c r="CA38" s="1" t="s">
        <v>314</v>
      </c>
      <c r="CB38" s="21">
        <v>1000</v>
      </c>
      <c r="CC38" s="21" t="s">
        <v>15</v>
      </c>
      <c r="CD38" s="20" t="s">
        <v>39</v>
      </c>
      <c r="CE38" s="11"/>
      <c r="CF38" s="11"/>
      <c r="CG38" s="11"/>
      <c r="CH38" s="105"/>
      <c r="CI38" s="11"/>
      <c r="CJ38" s="11"/>
      <c r="CK38" s="11"/>
      <c r="CL38" s="11"/>
      <c r="CM38" s="105"/>
      <c r="CN38" s="11"/>
    </row>
    <row r="39" spans="1:93" x14ac:dyDescent="0.25">
      <c r="A39" s="83" t="s">
        <v>146</v>
      </c>
      <c r="B39" s="249">
        <v>140</v>
      </c>
      <c r="C39" s="11">
        <v>6.75</v>
      </c>
      <c r="D39" s="11">
        <v>0</v>
      </c>
      <c r="E39" s="11">
        <v>0</v>
      </c>
      <c r="F39" s="11">
        <v>0</v>
      </c>
      <c r="G39" s="11">
        <v>6.75</v>
      </c>
      <c r="H39" s="11">
        <v>0</v>
      </c>
      <c r="I39" s="11">
        <v>0</v>
      </c>
      <c r="J39" s="11">
        <v>0</v>
      </c>
      <c r="K39" s="11">
        <v>0</v>
      </c>
      <c r="L39" s="11">
        <v>0</v>
      </c>
      <c r="M39" s="11">
        <v>9.2999999999999999E-2</v>
      </c>
      <c r="N39" s="11">
        <v>0</v>
      </c>
      <c r="O39" s="11">
        <v>0</v>
      </c>
      <c r="P39" s="11">
        <v>9.2999999999999999E-2</v>
      </c>
      <c r="Q39" s="30">
        <v>42005</v>
      </c>
      <c r="R39" s="13" t="s">
        <v>22</v>
      </c>
      <c r="S39" s="13" t="s">
        <v>22</v>
      </c>
      <c r="T39" s="13" t="s">
        <v>22</v>
      </c>
      <c r="U39" s="13" t="s">
        <v>22</v>
      </c>
      <c r="V39" s="13" t="s">
        <v>22</v>
      </c>
      <c r="W39" s="13" t="s">
        <v>22</v>
      </c>
      <c r="X39" s="13" t="s">
        <v>22</v>
      </c>
      <c r="Y39" s="13" t="s">
        <v>22</v>
      </c>
      <c r="Z39" s="13" t="s">
        <v>22</v>
      </c>
      <c r="AA39" s="13" t="s">
        <v>22</v>
      </c>
      <c r="AB39" s="13" t="s">
        <v>22</v>
      </c>
      <c r="AC39" s="13" t="s">
        <v>22</v>
      </c>
      <c r="AD39" s="13" t="s">
        <v>22</v>
      </c>
      <c r="AE39" s="13" t="s">
        <v>22</v>
      </c>
      <c r="AF39" s="13" t="s">
        <v>22</v>
      </c>
      <c r="AG39" s="13" t="s">
        <v>22</v>
      </c>
      <c r="AH39" s="13" t="s">
        <v>22</v>
      </c>
      <c r="AI39" s="13" t="s">
        <v>22</v>
      </c>
      <c r="AJ39" s="13" t="s">
        <v>22</v>
      </c>
      <c r="AK39" s="13" t="s">
        <v>22</v>
      </c>
      <c r="AL39" s="13" t="s">
        <v>22</v>
      </c>
      <c r="AM39" s="13" t="s">
        <v>22</v>
      </c>
      <c r="AN39" s="13" t="s">
        <v>22</v>
      </c>
      <c r="AO39" s="161" t="s">
        <v>22</v>
      </c>
      <c r="AP39" s="162" t="s">
        <v>22</v>
      </c>
      <c r="AQ39" s="13" t="s">
        <v>22</v>
      </c>
      <c r="AR39" s="13" t="s">
        <v>22</v>
      </c>
      <c r="AS39" s="13" t="s">
        <v>22</v>
      </c>
      <c r="AT39" s="13" t="s">
        <v>22</v>
      </c>
      <c r="AU39" s="13" t="s">
        <v>22</v>
      </c>
      <c r="AV39" s="13" t="s">
        <v>22</v>
      </c>
      <c r="AW39" s="13" t="s">
        <v>22</v>
      </c>
      <c r="AX39" s="13" t="s">
        <v>22</v>
      </c>
      <c r="AY39" s="13" t="s">
        <v>22</v>
      </c>
      <c r="AZ39" s="13" t="s">
        <v>22</v>
      </c>
      <c r="BA39" s="13" t="s">
        <v>22</v>
      </c>
      <c r="BB39" s="13" t="s">
        <v>22</v>
      </c>
      <c r="BC39" s="13" t="s">
        <v>22</v>
      </c>
      <c r="BD39" s="13" t="s">
        <v>22</v>
      </c>
      <c r="BE39" s="13" t="s">
        <v>22</v>
      </c>
      <c r="BF39" s="13" t="s">
        <v>22</v>
      </c>
      <c r="BG39" s="13" t="s">
        <v>22</v>
      </c>
      <c r="BH39" s="13" t="s">
        <v>22</v>
      </c>
      <c r="BI39" s="13" t="s">
        <v>22</v>
      </c>
      <c r="BJ39" s="13" t="s">
        <v>22</v>
      </c>
      <c r="BK39" s="13" t="s">
        <v>22</v>
      </c>
      <c r="BL39" s="13" t="s">
        <v>22</v>
      </c>
      <c r="BM39" s="13" t="s">
        <v>22</v>
      </c>
      <c r="BN39" s="36">
        <v>1</v>
      </c>
      <c r="BO39" s="36">
        <v>1</v>
      </c>
      <c r="BP39" s="36">
        <v>1</v>
      </c>
      <c r="BQ39" s="36">
        <v>1</v>
      </c>
      <c r="BR39" s="36">
        <v>1</v>
      </c>
      <c r="BS39" s="36">
        <v>1</v>
      </c>
      <c r="BT39" s="36">
        <v>1</v>
      </c>
      <c r="BU39" s="36">
        <v>1</v>
      </c>
      <c r="BV39" s="36">
        <v>1</v>
      </c>
      <c r="BW39" s="36">
        <v>1</v>
      </c>
      <c r="BX39" s="36">
        <v>1</v>
      </c>
      <c r="BY39" s="36">
        <v>1</v>
      </c>
      <c r="BZ39" s="109">
        <f t="shared" si="9"/>
        <v>12</v>
      </c>
      <c r="CA39" s="1" t="s">
        <v>147</v>
      </c>
      <c r="CB39" s="21">
        <v>0</v>
      </c>
      <c r="CC39" s="21" t="s">
        <v>15</v>
      </c>
      <c r="CD39" s="20" t="s">
        <v>37</v>
      </c>
      <c r="CE39" s="11">
        <v>9.2999999999999999E-2</v>
      </c>
      <c r="CF39" s="11"/>
      <c r="CG39" s="11"/>
      <c r="CH39" s="105"/>
      <c r="CI39" s="11"/>
      <c r="CJ39" s="11">
        <f>+CE39</f>
        <v>9.2999999999999999E-2</v>
      </c>
      <c r="CK39" s="11"/>
      <c r="CL39" s="11"/>
      <c r="CM39" s="105"/>
      <c r="CN39" s="11"/>
    </row>
    <row r="40" spans="1:93" x14ac:dyDescent="0.25">
      <c r="A40" s="83" t="s">
        <v>145</v>
      </c>
      <c r="B40" s="249">
        <v>12</v>
      </c>
      <c r="C40" s="11">
        <v>0</v>
      </c>
      <c r="D40" s="11">
        <v>0</v>
      </c>
      <c r="E40" s="11">
        <v>0</v>
      </c>
      <c r="F40" s="11">
        <v>0</v>
      </c>
      <c r="G40" s="11">
        <v>0</v>
      </c>
      <c r="H40" s="11">
        <v>0</v>
      </c>
      <c r="I40" s="11">
        <v>0</v>
      </c>
      <c r="J40" s="11">
        <v>0</v>
      </c>
      <c r="K40" s="11">
        <v>0.11409999999999999</v>
      </c>
      <c r="L40" s="11">
        <v>0.11409999999999999</v>
      </c>
      <c r="M40" s="11">
        <v>0.11409999999999999</v>
      </c>
      <c r="N40" s="11">
        <v>0.11409999999999999</v>
      </c>
      <c r="O40" s="11">
        <v>0.11409999999999999</v>
      </c>
      <c r="P40" s="11">
        <v>0.11409999999999999</v>
      </c>
      <c r="Q40" s="30">
        <v>42005</v>
      </c>
      <c r="R40" s="13" t="s">
        <v>22</v>
      </c>
      <c r="S40" s="13" t="s">
        <v>22</v>
      </c>
      <c r="T40" s="13" t="s">
        <v>22</v>
      </c>
      <c r="U40" s="13" t="s">
        <v>22</v>
      </c>
      <c r="V40" s="13" t="s">
        <v>22</v>
      </c>
      <c r="W40" s="13" t="s">
        <v>22</v>
      </c>
      <c r="X40" s="13" t="s">
        <v>22</v>
      </c>
      <c r="Y40" s="13" t="s">
        <v>22</v>
      </c>
      <c r="Z40" s="13" t="s">
        <v>22</v>
      </c>
      <c r="AA40" s="13" t="s">
        <v>22</v>
      </c>
      <c r="AB40" s="13" t="s">
        <v>22</v>
      </c>
      <c r="AC40" s="13" t="s">
        <v>22</v>
      </c>
      <c r="AD40" s="13" t="s">
        <v>22</v>
      </c>
      <c r="AE40" s="13" t="s">
        <v>22</v>
      </c>
      <c r="AF40" s="13" t="s">
        <v>22</v>
      </c>
      <c r="AG40" s="13" t="s">
        <v>22</v>
      </c>
      <c r="AH40" s="13" t="s">
        <v>22</v>
      </c>
      <c r="AI40" s="13" t="s">
        <v>22</v>
      </c>
      <c r="AJ40" s="13" t="s">
        <v>22</v>
      </c>
      <c r="AK40" s="13" t="s">
        <v>22</v>
      </c>
      <c r="AL40" s="13" t="s">
        <v>22</v>
      </c>
      <c r="AM40" s="13" t="s">
        <v>22</v>
      </c>
      <c r="AN40" s="13" t="s">
        <v>22</v>
      </c>
      <c r="AO40" s="161" t="s">
        <v>22</v>
      </c>
      <c r="AP40" s="162" t="s">
        <v>22</v>
      </c>
      <c r="AQ40" s="13" t="s">
        <v>22</v>
      </c>
      <c r="AR40" s="13" t="s">
        <v>22</v>
      </c>
      <c r="AS40" s="13" t="s">
        <v>22</v>
      </c>
      <c r="AT40" s="13" t="s">
        <v>22</v>
      </c>
      <c r="AU40" s="13" t="s">
        <v>22</v>
      </c>
      <c r="AV40" s="13" t="s">
        <v>22</v>
      </c>
      <c r="AW40" s="13" t="s">
        <v>22</v>
      </c>
      <c r="AX40" s="13" t="s">
        <v>22</v>
      </c>
      <c r="AY40" s="13" t="s">
        <v>22</v>
      </c>
      <c r="AZ40" s="13" t="s">
        <v>22</v>
      </c>
      <c r="BA40" s="13" t="s">
        <v>22</v>
      </c>
      <c r="BB40" s="13" t="s">
        <v>22</v>
      </c>
      <c r="BC40" s="13" t="s">
        <v>22</v>
      </c>
      <c r="BD40" s="13" t="s">
        <v>22</v>
      </c>
      <c r="BE40" s="13" t="s">
        <v>22</v>
      </c>
      <c r="BF40" s="13" t="s">
        <v>22</v>
      </c>
      <c r="BG40" s="13" t="s">
        <v>22</v>
      </c>
      <c r="BH40" s="13" t="s">
        <v>22</v>
      </c>
      <c r="BI40" s="13" t="s">
        <v>22</v>
      </c>
      <c r="BJ40" s="13" t="s">
        <v>22</v>
      </c>
      <c r="BK40" s="13" t="s">
        <v>22</v>
      </c>
      <c r="BL40" s="13" t="s">
        <v>22</v>
      </c>
      <c r="BM40" s="13" t="s">
        <v>22</v>
      </c>
      <c r="BN40" s="36">
        <v>1</v>
      </c>
      <c r="BO40" s="36">
        <v>1</v>
      </c>
      <c r="BP40" s="36">
        <v>1</v>
      </c>
      <c r="BQ40" s="36">
        <v>1</v>
      </c>
      <c r="BR40" s="36">
        <v>1</v>
      </c>
      <c r="BS40" s="36">
        <v>1</v>
      </c>
      <c r="BT40" s="36">
        <v>1</v>
      </c>
      <c r="BU40" s="36">
        <v>1</v>
      </c>
      <c r="BV40" s="36">
        <v>1</v>
      </c>
      <c r="BW40" s="36">
        <v>1</v>
      </c>
      <c r="BX40" s="36">
        <v>1</v>
      </c>
      <c r="BY40" s="36">
        <v>1</v>
      </c>
      <c r="BZ40" s="109">
        <f t="shared" si="9"/>
        <v>12</v>
      </c>
      <c r="CA40" s="1" t="s">
        <v>65</v>
      </c>
      <c r="CB40" s="21">
        <v>0</v>
      </c>
      <c r="CC40" s="21" t="s">
        <v>15</v>
      </c>
      <c r="CD40" s="20" t="s">
        <v>37</v>
      </c>
      <c r="CE40" s="11">
        <v>0.11409999999999999</v>
      </c>
      <c r="CF40" s="11"/>
      <c r="CG40" s="11"/>
      <c r="CH40" s="105"/>
      <c r="CI40" s="11"/>
      <c r="CJ40" s="11">
        <v>0.11409999999999999</v>
      </c>
      <c r="CK40" s="11"/>
      <c r="CL40" s="11"/>
      <c r="CM40" s="105"/>
      <c r="CN40" s="11"/>
    </row>
    <row r="41" spans="1:93" x14ac:dyDescent="0.25">
      <c r="A41" s="83" t="s">
        <v>156</v>
      </c>
      <c r="B41" s="249">
        <v>28</v>
      </c>
      <c r="C41" s="11">
        <f>5.36+0.46+0.96</f>
        <v>6.78</v>
      </c>
      <c r="D41" s="11">
        <v>10</v>
      </c>
      <c r="E41" s="11">
        <v>3.75</v>
      </c>
      <c r="F41" s="11">
        <v>0</v>
      </c>
      <c r="G41" s="11">
        <f>5.36+0.46+0.96</f>
        <v>6.78</v>
      </c>
      <c r="H41" s="11">
        <v>4.75</v>
      </c>
      <c r="I41" s="11">
        <v>0</v>
      </c>
      <c r="J41" s="11">
        <v>0</v>
      </c>
      <c r="K41" s="11">
        <f>0.06049+0.0569-0.025+0.00029</f>
        <v>9.2679999999999998E-2</v>
      </c>
      <c r="L41" s="11">
        <f>0.05322+0.0569-0.025+0.00019</f>
        <v>8.5309999999999997E-2</v>
      </c>
      <c r="M41" s="11">
        <f>0.03249+0.0569-0.025+0.00012</f>
        <v>6.4509999999999998E-2</v>
      </c>
      <c r="N41" s="11">
        <f>0.05415+0.0569-0.025+0.00026</f>
        <v>8.6309999999999984E-2</v>
      </c>
      <c r="O41" s="11">
        <f>0.05415+0.0569-0.025+0.00026</f>
        <v>8.6309999999999984E-2</v>
      </c>
      <c r="P41" s="11">
        <f>0.03622+0.0569-0.025+0.00016</f>
        <v>6.8280000000000007E-2</v>
      </c>
      <c r="Q41" s="135">
        <v>43282</v>
      </c>
      <c r="R41" s="13" t="s">
        <v>21</v>
      </c>
      <c r="S41" s="13" t="s">
        <v>20</v>
      </c>
      <c r="T41" s="13" t="s">
        <v>20</v>
      </c>
      <c r="U41" s="13" t="s">
        <v>20</v>
      </c>
      <c r="V41" s="13" t="s">
        <v>20</v>
      </c>
      <c r="W41" s="13" t="s">
        <v>21</v>
      </c>
      <c r="X41" s="13" t="s">
        <v>21</v>
      </c>
      <c r="Y41" s="13" t="s">
        <v>21</v>
      </c>
      <c r="Z41" s="13" t="s">
        <v>22</v>
      </c>
      <c r="AA41" s="13" t="s">
        <v>22</v>
      </c>
      <c r="AB41" s="13" t="s">
        <v>22</v>
      </c>
      <c r="AC41" s="13" t="s">
        <v>22</v>
      </c>
      <c r="AD41" s="13" t="s">
        <v>22</v>
      </c>
      <c r="AE41" s="13" t="s">
        <v>22</v>
      </c>
      <c r="AF41" s="13" t="s">
        <v>22</v>
      </c>
      <c r="AG41" s="13" t="s">
        <v>22</v>
      </c>
      <c r="AH41" s="13" t="s">
        <v>22</v>
      </c>
      <c r="AI41" s="13" t="s">
        <v>22</v>
      </c>
      <c r="AJ41" s="13" t="s">
        <v>22</v>
      </c>
      <c r="AK41" s="13" t="s">
        <v>22</v>
      </c>
      <c r="AL41" s="13" t="s">
        <v>22</v>
      </c>
      <c r="AM41" s="13" t="s">
        <v>22</v>
      </c>
      <c r="AN41" s="13" t="s">
        <v>21</v>
      </c>
      <c r="AO41" s="13" t="s">
        <v>21</v>
      </c>
      <c r="AP41" s="107" t="s">
        <v>21</v>
      </c>
      <c r="AQ41" s="13" t="s">
        <v>20</v>
      </c>
      <c r="AR41" s="13" t="s">
        <v>20</v>
      </c>
      <c r="AS41" s="13" t="s">
        <v>20</v>
      </c>
      <c r="AT41" s="13" t="s">
        <v>20</v>
      </c>
      <c r="AU41" s="13" t="s">
        <v>21</v>
      </c>
      <c r="AV41" s="13" t="s">
        <v>21</v>
      </c>
      <c r="AW41" s="13" t="s">
        <v>21</v>
      </c>
      <c r="AX41" s="13" t="s">
        <v>22</v>
      </c>
      <c r="AY41" s="13" t="s">
        <v>22</v>
      </c>
      <c r="AZ41" s="13" t="s">
        <v>22</v>
      </c>
      <c r="BA41" s="13" t="s">
        <v>22</v>
      </c>
      <c r="BB41" s="13" t="s">
        <v>22</v>
      </c>
      <c r="BC41" s="13" t="s">
        <v>22</v>
      </c>
      <c r="BD41" s="13" t="s">
        <v>22</v>
      </c>
      <c r="BE41" s="13" t="s">
        <v>22</v>
      </c>
      <c r="BF41" s="13" t="s">
        <v>22</v>
      </c>
      <c r="BG41" s="13" t="s">
        <v>22</v>
      </c>
      <c r="BH41" s="13" t="s">
        <v>22</v>
      </c>
      <c r="BI41" s="13" t="s">
        <v>22</v>
      </c>
      <c r="BJ41" s="13" t="s">
        <v>22</v>
      </c>
      <c r="BK41" s="13" t="s">
        <v>22</v>
      </c>
      <c r="BL41" s="13" t="s">
        <v>21</v>
      </c>
      <c r="BM41" s="13" t="s">
        <v>21</v>
      </c>
      <c r="BN41" s="36">
        <v>0</v>
      </c>
      <c r="BO41" s="36">
        <v>0</v>
      </c>
      <c r="BP41" s="36">
        <v>0</v>
      </c>
      <c r="BQ41" s="36">
        <v>0</v>
      </c>
      <c r="BR41" s="36">
        <v>0</v>
      </c>
      <c r="BS41" s="36">
        <v>1</v>
      </c>
      <c r="BT41" s="36">
        <v>1</v>
      </c>
      <c r="BU41" s="36">
        <v>1</v>
      </c>
      <c r="BV41" s="36">
        <v>1</v>
      </c>
      <c r="BW41" s="36">
        <v>0</v>
      </c>
      <c r="BX41" s="36">
        <v>0</v>
      </c>
      <c r="BY41" s="36">
        <v>0</v>
      </c>
      <c r="BZ41" s="109">
        <f t="shared" si="9"/>
        <v>4</v>
      </c>
      <c r="CA41" s="1" t="s">
        <v>27</v>
      </c>
      <c r="CB41" s="21">
        <v>30</v>
      </c>
      <c r="CC41" s="21" t="s">
        <v>15</v>
      </c>
      <c r="CD41" s="20" t="s">
        <v>39</v>
      </c>
      <c r="CE41" s="11"/>
      <c r="CF41" s="11"/>
      <c r="CG41" s="11"/>
      <c r="CH41" s="105"/>
      <c r="CI41" s="11"/>
      <c r="CJ41" s="11"/>
      <c r="CK41" s="11"/>
      <c r="CL41" s="11"/>
      <c r="CM41" s="21"/>
      <c r="CN41" s="11"/>
    </row>
    <row r="42" spans="1:93" x14ac:dyDescent="0.25">
      <c r="A42" s="83" t="s">
        <v>67</v>
      </c>
      <c r="B42" s="249">
        <v>-161.19999999999999</v>
      </c>
      <c r="C42" s="11">
        <v>10.31</v>
      </c>
      <c r="D42" s="11">
        <v>0</v>
      </c>
      <c r="E42" s="11">
        <v>0</v>
      </c>
      <c r="F42" s="11">
        <v>0</v>
      </c>
      <c r="G42" s="11">
        <v>10.31</v>
      </c>
      <c r="H42" s="11">
        <v>0</v>
      </c>
      <c r="I42" s="11">
        <v>0</v>
      </c>
      <c r="J42" s="11">
        <v>0</v>
      </c>
      <c r="K42" s="11">
        <v>0</v>
      </c>
      <c r="L42" s="11">
        <v>0</v>
      </c>
      <c r="M42" s="11">
        <v>0</v>
      </c>
      <c r="N42" s="11">
        <v>0</v>
      </c>
      <c r="O42" s="11">
        <v>0</v>
      </c>
      <c r="P42" s="11">
        <v>0</v>
      </c>
      <c r="Q42" s="30">
        <v>42736</v>
      </c>
      <c r="R42" s="13" t="s">
        <v>22</v>
      </c>
      <c r="S42" s="13" t="s">
        <v>22</v>
      </c>
      <c r="T42" s="13" t="s">
        <v>22</v>
      </c>
      <c r="U42" s="13" t="s">
        <v>22</v>
      </c>
      <c r="V42" s="13" t="s">
        <v>22</v>
      </c>
      <c r="W42" s="13" t="s">
        <v>22</v>
      </c>
      <c r="X42" s="13" t="s">
        <v>22</v>
      </c>
      <c r="Y42" s="13" t="s">
        <v>22</v>
      </c>
      <c r="Z42" s="13" t="s">
        <v>22</v>
      </c>
      <c r="AA42" s="13" t="s">
        <v>22</v>
      </c>
      <c r="AB42" s="13" t="s">
        <v>22</v>
      </c>
      <c r="AC42" s="13" t="s">
        <v>22</v>
      </c>
      <c r="AD42" s="13" t="s">
        <v>22</v>
      </c>
      <c r="AE42" s="13" t="s">
        <v>22</v>
      </c>
      <c r="AF42" s="13" t="s">
        <v>22</v>
      </c>
      <c r="AG42" s="13" t="s">
        <v>22</v>
      </c>
      <c r="AH42" s="13" t="s">
        <v>22</v>
      </c>
      <c r="AI42" s="13" t="s">
        <v>22</v>
      </c>
      <c r="AJ42" s="13" t="s">
        <v>22</v>
      </c>
      <c r="AK42" s="13" t="s">
        <v>22</v>
      </c>
      <c r="AL42" s="13" t="s">
        <v>22</v>
      </c>
      <c r="AM42" s="13" t="s">
        <v>22</v>
      </c>
      <c r="AN42" s="13" t="s">
        <v>22</v>
      </c>
      <c r="AO42" s="13" t="s">
        <v>22</v>
      </c>
      <c r="AP42" s="107" t="s">
        <v>22</v>
      </c>
      <c r="AQ42" s="13" t="s">
        <v>22</v>
      </c>
      <c r="AR42" s="13" t="s">
        <v>22</v>
      </c>
      <c r="AS42" s="13" t="s">
        <v>22</v>
      </c>
      <c r="AT42" s="13" t="s">
        <v>22</v>
      </c>
      <c r="AU42" s="13" t="s">
        <v>22</v>
      </c>
      <c r="AV42" s="13" t="s">
        <v>22</v>
      </c>
      <c r="AW42" s="13" t="s">
        <v>22</v>
      </c>
      <c r="AX42" s="13" t="s">
        <v>22</v>
      </c>
      <c r="AY42" s="13" t="s">
        <v>22</v>
      </c>
      <c r="AZ42" s="13" t="s">
        <v>22</v>
      </c>
      <c r="BA42" s="13" t="s">
        <v>22</v>
      </c>
      <c r="BB42" s="13" t="s">
        <v>22</v>
      </c>
      <c r="BC42" s="13" t="s">
        <v>22</v>
      </c>
      <c r="BD42" s="13" t="s">
        <v>22</v>
      </c>
      <c r="BE42" s="13" t="s">
        <v>22</v>
      </c>
      <c r="BF42" s="13" t="s">
        <v>22</v>
      </c>
      <c r="BG42" s="13" t="s">
        <v>22</v>
      </c>
      <c r="BH42" s="13" t="s">
        <v>22</v>
      </c>
      <c r="BI42" s="13" t="s">
        <v>22</v>
      </c>
      <c r="BJ42" s="13" t="s">
        <v>22</v>
      </c>
      <c r="BK42" s="13" t="s">
        <v>22</v>
      </c>
      <c r="BL42" s="13" t="s">
        <v>22</v>
      </c>
      <c r="BM42" s="13" t="s">
        <v>22</v>
      </c>
      <c r="BN42" s="36">
        <v>0</v>
      </c>
      <c r="BO42" s="36">
        <v>0</v>
      </c>
      <c r="BP42" s="36">
        <v>0</v>
      </c>
      <c r="BQ42" s="13">
        <v>0</v>
      </c>
      <c r="BR42" s="13">
        <v>1</v>
      </c>
      <c r="BS42" s="13">
        <v>1</v>
      </c>
      <c r="BT42" s="13">
        <v>1</v>
      </c>
      <c r="BU42" s="13">
        <v>1</v>
      </c>
      <c r="BV42" s="13">
        <v>1</v>
      </c>
      <c r="BW42" s="13">
        <v>0</v>
      </c>
      <c r="BX42" s="36">
        <v>0</v>
      </c>
      <c r="BY42" s="36">
        <v>0</v>
      </c>
      <c r="BZ42" s="109">
        <f t="shared" si="9"/>
        <v>5</v>
      </c>
      <c r="CA42" s="1" t="s">
        <v>157</v>
      </c>
      <c r="CB42" s="21">
        <v>20</v>
      </c>
      <c r="CC42" s="21">
        <v>1000</v>
      </c>
      <c r="CD42" s="20" t="s">
        <v>37</v>
      </c>
      <c r="CE42" s="11">
        <f>0.1304</f>
        <v>0.13039999999999999</v>
      </c>
      <c r="CF42" s="11">
        <f>0.1019</f>
        <v>0.1019</v>
      </c>
      <c r="CG42" s="11"/>
      <c r="CH42" s="105">
        <v>20000</v>
      </c>
      <c r="CI42" s="105"/>
      <c r="CJ42" s="11">
        <f>0.1065</f>
        <v>0.1065</v>
      </c>
      <c r="CK42" s="11">
        <f>0.0813</f>
        <v>8.1299999999999997E-2</v>
      </c>
      <c r="CL42" s="11"/>
      <c r="CM42" s="105">
        <v>20000</v>
      </c>
      <c r="CN42" s="105"/>
      <c r="CO42" t="s">
        <v>356</v>
      </c>
    </row>
    <row r="43" spans="1:93" x14ac:dyDescent="0.25">
      <c r="A43" s="83" t="s">
        <v>68</v>
      </c>
      <c r="B43" s="249">
        <v>195</v>
      </c>
      <c r="C43" s="11">
        <v>17.78</v>
      </c>
      <c r="D43" s="11">
        <v>0</v>
      </c>
      <c r="E43" s="11">
        <v>0</v>
      </c>
      <c r="F43" s="11">
        <v>0</v>
      </c>
      <c r="G43" s="11">
        <v>17.78</v>
      </c>
      <c r="H43" s="11">
        <v>0</v>
      </c>
      <c r="I43" s="11">
        <v>0</v>
      </c>
      <c r="J43" s="11">
        <v>0</v>
      </c>
      <c r="K43" s="11">
        <v>0.1053</v>
      </c>
      <c r="L43" s="11">
        <v>8.1100000000000005E-2</v>
      </c>
      <c r="M43" s="11">
        <v>5.2600000000000001E-2</v>
      </c>
      <c r="N43" s="11">
        <v>6.9400000000000003E-2</v>
      </c>
      <c r="O43" s="11">
        <v>0</v>
      </c>
      <c r="P43" s="11">
        <v>5.2600000000000001E-2</v>
      </c>
      <c r="Q43" s="30">
        <v>42736</v>
      </c>
      <c r="R43" s="13" t="s">
        <v>21</v>
      </c>
      <c r="S43" s="13" t="s">
        <v>20</v>
      </c>
      <c r="T43" s="13" t="s">
        <v>20</v>
      </c>
      <c r="U43" s="13" t="s">
        <v>20</v>
      </c>
      <c r="V43" s="13" t="s">
        <v>20</v>
      </c>
      <c r="W43" s="13" t="s">
        <v>20</v>
      </c>
      <c r="X43" s="13" t="s">
        <v>20</v>
      </c>
      <c r="Y43" s="13" t="s">
        <v>20</v>
      </c>
      <c r="Z43" s="13" t="s">
        <v>20</v>
      </c>
      <c r="AA43" s="13" t="s">
        <v>21</v>
      </c>
      <c r="AB43" s="13" t="s">
        <v>21</v>
      </c>
      <c r="AC43" s="13" t="s">
        <v>22</v>
      </c>
      <c r="AD43" s="13" t="s">
        <v>22</v>
      </c>
      <c r="AE43" s="13" t="s">
        <v>22</v>
      </c>
      <c r="AF43" s="13" t="s">
        <v>22</v>
      </c>
      <c r="AG43" s="13" t="s">
        <v>22</v>
      </c>
      <c r="AH43" s="13" t="s">
        <v>22</v>
      </c>
      <c r="AI43" s="13" t="s">
        <v>22</v>
      </c>
      <c r="AJ43" s="13" t="s">
        <v>22</v>
      </c>
      <c r="AK43" s="13" t="s">
        <v>22</v>
      </c>
      <c r="AL43" s="13" t="s">
        <v>21</v>
      </c>
      <c r="AM43" s="13" t="s">
        <v>21</v>
      </c>
      <c r="AN43" s="13" t="s">
        <v>21</v>
      </c>
      <c r="AO43" s="13" t="s">
        <v>21</v>
      </c>
      <c r="AP43" s="107" t="s">
        <v>20</v>
      </c>
      <c r="AQ43" s="13" t="s">
        <v>20</v>
      </c>
      <c r="AR43" s="13" t="s">
        <v>20</v>
      </c>
      <c r="AS43" s="13" t="s">
        <v>20</v>
      </c>
      <c r="AT43" s="13" t="s">
        <v>20</v>
      </c>
      <c r="AU43" s="13" t="s">
        <v>20</v>
      </c>
      <c r="AV43" s="13" t="s">
        <v>20</v>
      </c>
      <c r="AW43" s="13" t="s">
        <v>20</v>
      </c>
      <c r="AX43" s="13" t="s">
        <v>20</v>
      </c>
      <c r="AY43" s="13" t="s">
        <v>20</v>
      </c>
      <c r="AZ43" s="13" t="s">
        <v>20</v>
      </c>
      <c r="BA43" s="13" t="s">
        <v>22</v>
      </c>
      <c r="BB43" s="13" t="s">
        <v>22</v>
      </c>
      <c r="BC43" s="13" t="s">
        <v>22</v>
      </c>
      <c r="BD43" s="13" t="s">
        <v>22</v>
      </c>
      <c r="BE43" s="13" t="s">
        <v>22</v>
      </c>
      <c r="BF43" s="13" t="s">
        <v>22</v>
      </c>
      <c r="BG43" s="13" t="s">
        <v>22</v>
      </c>
      <c r="BH43" s="13" t="s">
        <v>22</v>
      </c>
      <c r="BI43" s="13" t="s">
        <v>22</v>
      </c>
      <c r="BJ43" s="13" t="s">
        <v>20</v>
      </c>
      <c r="BK43" s="13" t="s">
        <v>20</v>
      </c>
      <c r="BL43" s="13" t="s">
        <v>20</v>
      </c>
      <c r="BM43" s="13" t="s">
        <v>20</v>
      </c>
      <c r="BN43" s="36">
        <v>0</v>
      </c>
      <c r="BO43" s="36">
        <v>0</v>
      </c>
      <c r="BP43" s="36">
        <v>0</v>
      </c>
      <c r="BQ43" s="13">
        <v>0</v>
      </c>
      <c r="BR43" s="13">
        <v>1</v>
      </c>
      <c r="BS43" s="13">
        <v>1</v>
      </c>
      <c r="BT43" s="13">
        <v>1</v>
      </c>
      <c r="BU43" s="13">
        <v>1</v>
      </c>
      <c r="BV43" s="13">
        <v>1</v>
      </c>
      <c r="BW43" s="13">
        <v>0</v>
      </c>
      <c r="BX43" s="36">
        <v>0</v>
      </c>
      <c r="BY43" s="36">
        <v>0</v>
      </c>
      <c r="BZ43" s="109">
        <f t="shared" si="9"/>
        <v>5</v>
      </c>
      <c r="CA43" s="1" t="s">
        <v>158</v>
      </c>
      <c r="CB43" s="21">
        <v>1000</v>
      </c>
      <c r="CC43" s="21" t="s">
        <v>15</v>
      </c>
      <c r="CD43" s="20" t="s">
        <v>39</v>
      </c>
      <c r="CE43" s="11"/>
      <c r="CF43" s="11"/>
      <c r="CG43" s="11"/>
      <c r="CH43" s="105"/>
      <c r="CI43" s="11"/>
      <c r="CJ43" s="11"/>
      <c r="CK43" s="11"/>
      <c r="CL43" s="11"/>
      <c r="CM43" s="105"/>
      <c r="CN43" s="11"/>
    </row>
    <row r="44" spans="1:93" x14ac:dyDescent="0.25">
      <c r="A44" s="83" t="s">
        <v>69</v>
      </c>
      <c r="B44" s="249">
        <f>4.59959*30.44</f>
        <v>140.01151960000001</v>
      </c>
      <c r="C44" s="11">
        <v>18.28</v>
      </c>
      <c r="D44" s="11">
        <v>0</v>
      </c>
      <c r="E44" s="11">
        <v>0</v>
      </c>
      <c r="F44" s="11">
        <v>0</v>
      </c>
      <c r="G44" s="11">
        <v>10.95</v>
      </c>
      <c r="H44" s="11">
        <v>0</v>
      </c>
      <c r="I44" s="11">
        <v>0</v>
      </c>
      <c r="J44" s="11">
        <v>0</v>
      </c>
      <c r="K44" s="11">
        <v>0.21833</v>
      </c>
      <c r="L44" s="11">
        <v>0.16320000000000001</v>
      </c>
      <c r="M44" s="11">
        <v>0.13513</v>
      </c>
      <c r="N44" s="11">
        <v>0</v>
      </c>
      <c r="O44" s="11">
        <v>0.13502</v>
      </c>
      <c r="P44" s="11">
        <v>0.11796</v>
      </c>
      <c r="Q44" s="30">
        <v>43101</v>
      </c>
      <c r="R44" s="13" t="s">
        <v>20</v>
      </c>
      <c r="S44" s="13" t="s">
        <v>20</v>
      </c>
      <c r="T44" s="13" t="s">
        <v>20</v>
      </c>
      <c r="U44" s="13" t="s">
        <v>20</v>
      </c>
      <c r="V44" s="13" t="s">
        <v>20</v>
      </c>
      <c r="W44" s="13" t="s">
        <v>20</v>
      </c>
      <c r="X44" s="13" t="s">
        <v>21</v>
      </c>
      <c r="Y44" s="13" t="s">
        <v>21</v>
      </c>
      <c r="Z44" s="13" t="s">
        <v>21</v>
      </c>
      <c r="AA44" s="13" t="s">
        <v>21</v>
      </c>
      <c r="AB44" s="13" t="s">
        <v>22</v>
      </c>
      <c r="AC44" s="13" t="s">
        <v>22</v>
      </c>
      <c r="AD44" s="13" t="s">
        <v>22</v>
      </c>
      <c r="AE44" s="13" t="s">
        <v>22</v>
      </c>
      <c r="AF44" s="13" t="s">
        <v>22</v>
      </c>
      <c r="AG44" s="13" t="s">
        <v>22</v>
      </c>
      <c r="AH44" s="13" t="s">
        <v>22</v>
      </c>
      <c r="AI44" s="13" t="s">
        <v>22</v>
      </c>
      <c r="AJ44" s="13" t="s">
        <v>22</v>
      </c>
      <c r="AK44" s="13" t="s">
        <v>22</v>
      </c>
      <c r="AL44" s="13" t="s">
        <v>22</v>
      </c>
      <c r="AM44" s="13" t="s">
        <v>21</v>
      </c>
      <c r="AN44" s="13" t="s">
        <v>21</v>
      </c>
      <c r="AO44" s="13" t="s">
        <v>21</v>
      </c>
      <c r="AP44" s="107" t="s">
        <v>21</v>
      </c>
      <c r="AQ44" s="13" t="s">
        <v>21</v>
      </c>
      <c r="AR44" s="13" t="s">
        <v>21</v>
      </c>
      <c r="AS44" s="13" t="s">
        <v>21</v>
      </c>
      <c r="AT44" s="13" t="s">
        <v>21</v>
      </c>
      <c r="AU44" s="13" t="s">
        <v>21</v>
      </c>
      <c r="AV44" s="13" t="s">
        <v>21</v>
      </c>
      <c r="AW44" s="13" t="s">
        <v>21</v>
      </c>
      <c r="AX44" s="13" t="s">
        <v>21</v>
      </c>
      <c r="AY44" s="13" t="s">
        <v>21</v>
      </c>
      <c r="AZ44" s="13" t="s">
        <v>22</v>
      </c>
      <c r="BA44" s="13" t="s">
        <v>22</v>
      </c>
      <c r="BB44" s="13" t="s">
        <v>22</v>
      </c>
      <c r="BC44" s="13" t="s">
        <v>22</v>
      </c>
      <c r="BD44" s="13" t="s">
        <v>22</v>
      </c>
      <c r="BE44" s="13" t="s">
        <v>22</v>
      </c>
      <c r="BF44" s="13" t="s">
        <v>22</v>
      </c>
      <c r="BG44" s="13" t="s">
        <v>22</v>
      </c>
      <c r="BH44" s="13" t="s">
        <v>22</v>
      </c>
      <c r="BI44" s="13" t="s">
        <v>22</v>
      </c>
      <c r="BJ44" s="13" t="s">
        <v>22</v>
      </c>
      <c r="BK44" s="13" t="s">
        <v>21</v>
      </c>
      <c r="BL44" s="13" t="s">
        <v>21</v>
      </c>
      <c r="BM44" s="13" t="s">
        <v>21</v>
      </c>
      <c r="BN44" s="36">
        <v>0</v>
      </c>
      <c r="BO44" s="36">
        <v>0</v>
      </c>
      <c r="BP44" s="36">
        <v>0</v>
      </c>
      <c r="BQ44" s="13">
        <v>0</v>
      </c>
      <c r="BR44" s="36">
        <v>1</v>
      </c>
      <c r="BS44" s="36">
        <v>1</v>
      </c>
      <c r="BT44" s="36">
        <v>1</v>
      </c>
      <c r="BU44" s="36">
        <v>1</v>
      </c>
      <c r="BV44" s="36">
        <v>1</v>
      </c>
      <c r="BW44" s="36">
        <v>1</v>
      </c>
      <c r="BX44" s="36">
        <v>0</v>
      </c>
      <c r="BY44" s="36">
        <v>0</v>
      </c>
      <c r="BZ44" s="109">
        <f t="shared" si="9"/>
        <v>6</v>
      </c>
      <c r="CA44" s="1" t="s">
        <v>62</v>
      </c>
      <c r="CB44" s="21">
        <v>0</v>
      </c>
      <c r="CC44" s="21">
        <v>500</v>
      </c>
      <c r="CD44" s="20" t="s">
        <v>39</v>
      </c>
      <c r="CE44" s="11"/>
      <c r="CF44" s="11"/>
      <c r="CG44" s="11"/>
      <c r="CH44" s="105"/>
      <c r="CI44" s="11"/>
      <c r="CJ44" s="11"/>
      <c r="CK44" s="11"/>
      <c r="CL44" s="11"/>
      <c r="CM44" s="105"/>
      <c r="CN44" s="11"/>
    </row>
    <row r="45" spans="1:93" x14ac:dyDescent="0.25">
      <c r="A45" s="83" t="s">
        <v>365</v>
      </c>
      <c r="B45" s="249">
        <v>0</v>
      </c>
      <c r="C45" s="11">
        <f>25/10</f>
        <v>2.5</v>
      </c>
      <c r="D45" s="11">
        <v>0</v>
      </c>
      <c r="E45" s="11">
        <v>0</v>
      </c>
      <c r="F45" s="11">
        <v>0</v>
      </c>
      <c r="G45" s="11">
        <f>25/10</f>
        <v>2.5</v>
      </c>
      <c r="H45" s="11">
        <v>0</v>
      </c>
      <c r="I45" s="11">
        <v>0</v>
      </c>
      <c r="J45" s="11">
        <v>0</v>
      </c>
      <c r="K45" s="11">
        <v>0.3</v>
      </c>
      <c r="L45" s="11">
        <v>0.12</v>
      </c>
      <c r="M45" s="11">
        <v>0.09</v>
      </c>
      <c r="N45" s="11">
        <v>0.3</v>
      </c>
      <c r="O45" s="11">
        <v>0.12</v>
      </c>
      <c r="P45" s="11">
        <v>0.09</v>
      </c>
      <c r="Q45" s="30" t="s">
        <v>318</v>
      </c>
      <c r="R45" s="13" t="s">
        <v>22</v>
      </c>
      <c r="S45" s="13" t="s">
        <v>22</v>
      </c>
      <c r="T45" s="13" t="s">
        <v>21</v>
      </c>
      <c r="U45" s="13" t="s">
        <v>21</v>
      </c>
      <c r="V45" s="13" t="s">
        <v>20</v>
      </c>
      <c r="W45" s="13" t="s">
        <v>20</v>
      </c>
      <c r="X45" s="13" t="s">
        <v>20</v>
      </c>
      <c r="Y45" s="13" t="s">
        <v>20</v>
      </c>
      <c r="Z45" s="13" t="s">
        <v>20</v>
      </c>
      <c r="AA45" s="13" t="s">
        <v>20</v>
      </c>
      <c r="AB45" s="13" t="s">
        <v>21</v>
      </c>
      <c r="AC45" s="13" t="s">
        <v>21</v>
      </c>
      <c r="AD45" s="13" t="s">
        <v>21</v>
      </c>
      <c r="AE45" s="13" t="s">
        <v>21</v>
      </c>
      <c r="AF45" s="13" t="s">
        <v>21</v>
      </c>
      <c r="AG45" s="13" t="s">
        <v>21</v>
      </c>
      <c r="AH45" s="13" t="s">
        <v>21</v>
      </c>
      <c r="AI45" s="13" t="s">
        <v>21</v>
      </c>
      <c r="AJ45" s="13" t="s">
        <v>21</v>
      </c>
      <c r="AK45" s="13" t="s">
        <v>21</v>
      </c>
      <c r="AL45" s="13" t="s">
        <v>21</v>
      </c>
      <c r="AM45" s="13" t="s">
        <v>22</v>
      </c>
      <c r="AN45" s="13" t="s">
        <v>22</v>
      </c>
      <c r="AO45" s="13" t="s">
        <v>22</v>
      </c>
      <c r="AP45" s="13" t="s">
        <v>22</v>
      </c>
      <c r="AQ45" s="13" t="s">
        <v>22</v>
      </c>
      <c r="AR45" s="13" t="s">
        <v>21</v>
      </c>
      <c r="AS45" s="13" t="s">
        <v>21</v>
      </c>
      <c r="AT45" s="13" t="s">
        <v>20</v>
      </c>
      <c r="AU45" s="13" t="s">
        <v>20</v>
      </c>
      <c r="AV45" s="13" t="s">
        <v>20</v>
      </c>
      <c r="AW45" s="13" t="s">
        <v>20</v>
      </c>
      <c r="AX45" s="13" t="s">
        <v>20</v>
      </c>
      <c r="AY45" s="13" t="s">
        <v>20</v>
      </c>
      <c r="AZ45" s="13" t="s">
        <v>21</v>
      </c>
      <c r="BA45" s="13" t="s">
        <v>21</v>
      </c>
      <c r="BB45" s="13" t="s">
        <v>21</v>
      </c>
      <c r="BC45" s="13" t="s">
        <v>21</v>
      </c>
      <c r="BD45" s="13" t="s">
        <v>21</v>
      </c>
      <c r="BE45" s="13" t="s">
        <v>21</v>
      </c>
      <c r="BF45" s="13" t="s">
        <v>21</v>
      </c>
      <c r="BG45" s="13" t="s">
        <v>21</v>
      </c>
      <c r="BH45" s="13" t="s">
        <v>21</v>
      </c>
      <c r="BI45" s="13" t="s">
        <v>21</v>
      </c>
      <c r="BJ45" s="13" t="s">
        <v>21</v>
      </c>
      <c r="BK45" s="13" t="s">
        <v>22</v>
      </c>
      <c r="BL45" s="13" t="s">
        <v>22</v>
      </c>
      <c r="BM45" s="13" t="s">
        <v>22</v>
      </c>
      <c r="BN45" s="36">
        <v>1</v>
      </c>
      <c r="BO45" s="36">
        <v>1</v>
      </c>
      <c r="BP45" s="36">
        <v>1</v>
      </c>
      <c r="BQ45" s="13">
        <v>1</v>
      </c>
      <c r="BR45" s="36">
        <v>1</v>
      </c>
      <c r="BS45" s="36">
        <v>1</v>
      </c>
      <c r="BT45" s="36">
        <v>1</v>
      </c>
      <c r="BU45" s="36">
        <v>1</v>
      </c>
      <c r="BV45" s="36">
        <v>1</v>
      </c>
      <c r="BW45" s="36">
        <v>1</v>
      </c>
      <c r="BX45" s="36">
        <v>1</v>
      </c>
      <c r="BY45" s="36">
        <v>1</v>
      </c>
      <c r="BZ45" s="109">
        <f t="shared" si="9"/>
        <v>12</v>
      </c>
      <c r="CA45" s="1" t="s">
        <v>364</v>
      </c>
      <c r="CB45" s="21">
        <v>0</v>
      </c>
      <c r="CC45" s="21">
        <v>100</v>
      </c>
      <c r="CD45" s="20" t="s">
        <v>366</v>
      </c>
      <c r="CE45" s="11"/>
      <c r="CF45" s="11"/>
      <c r="CG45" s="11"/>
      <c r="CH45" s="105"/>
      <c r="CI45" s="11"/>
      <c r="CJ45" s="11"/>
      <c r="CK45" s="11"/>
      <c r="CL45" s="11"/>
      <c r="CM45" s="105"/>
      <c r="CN45" s="11"/>
      <c r="CO45" t="s">
        <v>370</v>
      </c>
    </row>
    <row r="46" spans="1:93" x14ac:dyDescent="0.25">
      <c r="A46" s="83" t="s">
        <v>363</v>
      </c>
      <c r="B46" s="249">
        <v>0</v>
      </c>
      <c r="C46" s="11">
        <f>184/50</f>
        <v>3.68</v>
      </c>
      <c r="D46" s="11">
        <v>0</v>
      </c>
      <c r="E46" s="11">
        <v>0</v>
      </c>
      <c r="F46" s="11">
        <v>0</v>
      </c>
      <c r="G46" s="11">
        <f>184/50</f>
        <v>3.68</v>
      </c>
      <c r="H46" s="11">
        <v>0</v>
      </c>
      <c r="I46" s="11">
        <v>0</v>
      </c>
      <c r="J46" s="11">
        <v>0</v>
      </c>
      <c r="K46" s="11">
        <v>0.3</v>
      </c>
      <c r="L46" s="11">
        <v>0.11</v>
      </c>
      <c r="M46" s="11">
        <v>0.09</v>
      </c>
      <c r="N46" s="11">
        <v>0.3</v>
      </c>
      <c r="O46" s="11">
        <v>0.11</v>
      </c>
      <c r="P46" s="11">
        <v>0.09</v>
      </c>
      <c r="Q46" s="30" t="s">
        <v>318</v>
      </c>
      <c r="R46" s="13" t="s">
        <v>22</v>
      </c>
      <c r="S46" s="13" t="s">
        <v>22</v>
      </c>
      <c r="T46" s="13" t="s">
        <v>21</v>
      </c>
      <c r="U46" s="13" t="s">
        <v>21</v>
      </c>
      <c r="V46" s="13" t="s">
        <v>20</v>
      </c>
      <c r="W46" s="13" t="s">
        <v>20</v>
      </c>
      <c r="X46" s="13" t="s">
        <v>20</v>
      </c>
      <c r="Y46" s="13" t="s">
        <v>20</v>
      </c>
      <c r="Z46" s="13" t="s">
        <v>20</v>
      </c>
      <c r="AA46" s="13" t="s">
        <v>20</v>
      </c>
      <c r="AB46" s="13" t="s">
        <v>21</v>
      </c>
      <c r="AC46" s="13" t="s">
        <v>21</v>
      </c>
      <c r="AD46" s="13" t="s">
        <v>21</v>
      </c>
      <c r="AE46" s="13" t="s">
        <v>21</v>
      </c>
      <c r="AF46" s="13" t="s">
        <v>21</v>
      </c>
      <c r="AG46" s="13" t="s">
        <v>21</v>
      </c>
      <c r="AH46" s="13" t="s">
        <v>21</v>
      </c>
      <c r="AI46" s="13" t="s">
        <v>21</v>
      </c>
      <c r="AJ46" s="13" t="s">
        <v>21</v>
      </c>
      <c r="AK46" s="13" t="s">
        <v>21</v>
      </c>
      <c r="AL46" s="13" t="s">
        <v>21</v>
      </c>
      <c r="AM46" s="13" t="s">
        <v>22</v>
      </c>
      <c r="AN46" s="13" t="s">
        <v>22</v>
      </c>
      <c r="AO46" s="13" t="s">
        <v>22</v>
      </c>
      <c r="AP46" s="13" t="s">
        <v>22</v>
      </c>
      <c r="AQ46" s="13" t="s">
        <v>22</v>
      </c>
      <c r="AR46" s="13" t="s">
        <v>21</v>
      </c>
      <c r="AS46" s="13" t="s">
        <v>21</v>
      </c>
      <c r="AT46" s="13" t="s">
        <v>20</v>
      </c>
      <c r="AU46" s="13" t="s">
        <v>20</v>
      </c>
      <c r="AV46" s="13" t="s">
        <v>20</v>
      </c>
      <c r="AW46" s="13" t="s">
        <v>20</v>
      </c>
      <c r="AX46" s="13" t="s">
        <v>20</v>
      </c>
      <c r="AY46" s="13" t="s">
        <v>20</v>
      </c>
      <c r="AZ46" s="13" t="s">
        <v>21</v>
      </c>
      <c r="BA46" s="13" t="s">
        <v>21</v>
      </c>
      <c r="BB46" s="13" t="s">
        <v>21</v>
      </c>
      <c r="BC46" s="13" t="s">
        <v>21</v>
      </c>
      <c r="BD46" s="13" t="s">
        <v>21</v>
      </c>
      <c r="BE46" s="13" t="s">
        <v>21</v>
      </c>
      <c r="BF46" s="13" t="s">
        <v>21</v>
      </c>
      <c r="BG46" s="13" t="s">
        <v>21</v>
      </c>
      <c r="BH46" s="13" t="s">
        <v>21</v>
      </c>
      <c r="BI46" s="13" t="s">
        <v>21</v>
      </c>
      <c r="BJ46" s="13" t="s">
        <v>21</v>
      </c>
      <c r="BK46" s="13" t="s">
        <v>22</v>
      </c>
      <c r="BL46" s="13" t="s">
        <v>22</v>
      </c>
      <c r="BM46" s="13" t="s">
        <v>22</v>
      </c>
      <c r="BN46" s="36">
        <v>1</v>
      </c>
      <c r="BO46" s="36">
        <v>1</v>
      </c>
      <c r="BP46" s="36">
        <v>1</v>
      </c>
      <c r="BQ46" s="13">
        <v>1</v>
      </c>
      <c r="BR46" s="36">
        <v>1</v>
      </c>
      <c r="BS46" s="36">
        <v>1</v>
      </c>
      <c r="BT46" s="36">
        <v>1</v>
      </c>
      <c r="BU46" s="36">
        <v>1</v>
      </c>
      <c r="BV46" s="36">
        <v>1</v>
      </c>
      <c r="BW46" s="36">
        <v>1</v>
      </c>
      <c r="BX46" s="36">
        <v>1</v>
      </c>
      <c r="BY46" s="36">
        <v>1</v>
      </c>
      <c r="BZ46" s="109">
        <f t="shared" ref="BZ46" si="10">+SUM(BN46:BY46)</f>
        <v>12</v>
      </c>
      <c r="CA46" s="1" t="s">
        <v>364</v>
      </c>
      <c r="CB46" s="21">
        <v>100</v>
      </c>
      <c r="CC46" s="21" t="s">
        <v>15</v>
      </c>
      <c r="CD46" s="20" t="s">
        <v>366</v>
      </c>
      <c r="CE46" s="11"/>
      <c r="CF46" s="11"/>
      <c r="CG46" s="11"/>
      <c r="CH46" s="105"/>
      <c r="CI46" s="11"/>
      <c r="CJ46" s="11"/>
      <c r="CK46" s="11"/>
      <c r="CL46" s="11"/>
      <c r="CM46" s="105"/>
      <c r="CN46" s="11"/>
      <c r="CO46" t="s">
        <v>369</v>
      </c>
    </row>
    <row r="47" spans="1:93" x14ac:dyDescent="0.25">
      <c r="A47" s="83" t="s">
        <v>164</v>
      </c>
      <c r="B47" s="249">
        <f>19.71253*30.44</f>
        <v>600.0494132</v>
      </c>
      <c r="C47" s="11">
        <v>17.57</v>
      </c>
      <c r="D47" s="11">
        <v>18.64</v>
      </c>
      <c r="E47" s="11">
        <v>5.18</v>
      </c>
      <c r="F47" s="11">
        <v>0</v>
      </c>
      <c r="G47" s="11">
        <v>17.57</v>
      </c>
      <c r="H47" s="11">
        <v>0</v>
      </c>
      <c r="I47" s="11">
        <v>0.12</v>
      </c>
      <c r="J47" s="11">
        <v>0</v>
      </c>
      <c r="K47" s="11">
        <v>0.15245</v>
      </c>
      <c r="L47" s="11">
        <v>0.11194</v>
      </c>
      <c r="M47" s="11">
        <v>8.5120000000000001E-2</v>
      </c>
      <c r="N47" s="11">
        <v>0</v>
      </c>
      <c r="O47" s="11">
        <v>0.10639999999999999</v>
      </c>
      <c r="P47" s="11">
        <v>9.178E-2</v>
      </c>
      <c r="Q47" s="30">
        <v>43101</v>
      </c>
      <c r="R47" s="13" t="s">
        <v>20</v>
      </c>
      <c r="S47" s="13" t="s">
        <v>20</v>
      </c>
      <c r="T47" s="13" t="s">
        <v>20</v>
      </c>
      <c r="U47" s="13" t="s">
        <v>20</v>
      </c>
      <c r="V47" s="13" t="s">
        <v>20</v>
      </c>
      <c r="W47" s="13" t="s">
        <v>20</v>
      </c>
      <c r="X47" s="13" t="s">
        <v>21</v>
      </c>
      <c r="Y47" s="13" t="s">
        <v>21</v>
      </c>
      <c r="Z47" s="13" t="s">
        <v>21</v>
      </c>
      <c r="AA47" s="13" t="s">
        <v>21</v>
      </c>
      <c r="AB47" s="13" t="s">
        <v>22</v>
      </c>
      <c r="AC47" s="13" t="s">
        <v>22</v>
      </c>
      <c r="AD47" s="13" t="s">
        <v>22</v>
      </c>
      <c r="AE47" s="13" t="s">
        <v>22</v>
      </c>
      <c r="AF47" s="13" t="s">
        <v>22</v>
      </c>
      <c r="AG47" s="13" t="s">
        <v>22</v>
      </c>
      <c r="AH47" s="13" t="s">
        <v>22</v>
      </c>
      <c r="AI47" s="13" t="s">
        <v>22</v>
      </c>
      <c r="AJ47" s="13" t="s">
        <v>22</v>
      </c>
      <c r="AK47" s="13" t="s">
        <v>22</v>
      </c>
      <c r="AL47" s="13" t="s">
        <v>21</v>
      </c>
      <c r="AM47" s="13" t="s">
        <v>21</v>
      </c>
      <c r="AN47" s="13" t="s">
        <v>21</v>
      </c>
      <c r="AO47" s="13" t="s">
        <v>21</v>
      </c>
      <c r="AP47" s="107" t="s">
        <v>21</v>
      </c>
      <c r="AQ47" s="13" t="s">
        <v>21</v>
      </c>
      <c r="AR47" s="13" t="s">
        <v>21</v>
      </c>
      <c r="AS47" s="13" t="s">
        <v>21</v>
      </c>
      <c r="AT47" s="13" t="s">
        <v>21</v>
      </c>
      <c r="AU47" s="13" t="s">
        <v>21</v>
      </c>
      <c r="AV47" s="13" t="s">
        <v>21</v>
      </c>
      <c r="AW47" s="13" t="s">
        <v>21</v>
      </c>
      <c r="AX47" s="13" t="s">
        <v>21</v>
      </c>
      <c r="AY47" s="13" t="s">
        <v>21</v>
      </c>
      <c r="AZ47" s="13" t="s">
        <v>22</v>
      </c>
      <c r="BA47" s="13" t="s">
        <v>22</v>
      </c>
      <c r="BB47" s="13" t="s">
        <v>22</v>
      </c>
      <c r="BC47" s="13" t="s">
        <v>22</v>
      </c>
      <c r="BD47" s="13" t="s">
        <v>22</v>
      </c>
      <c r="BE47" s="13" t="s">
        <v>22</v>
      </c>
      <c r="BF47" s="13" t="s">
        <v>22</v>
      </c>
      <c r="BG47" s="13" t="s">
        <v>22</v>
      </c>
      <c r="BH47" s="13" t="s">
        <v>22</v>
      </c>
      <c r="BI47" s="13" t="s">
        <v>22</v>
      </c>
      <c r="BJ47" s="13" t="s">
        <v>21</v>
      </c>
      <c r="BK47" s="13" t="s">
        <v>21</v>
      </c>
      <c r="BL47" s="13" t="s">
        <v>21</v>
      </c>
      <c r="BM47" s="13" t="s">
        <v>21</v>
      </c>
      <c r="BN47" s="36">
        <v>0</v>
      </c>
      <c r="BO47" s="36">
        <v>0</v>
      </c>
      <c r="BP47" s="36">
        <v>0</v>
      </c>
      <c r="BQ47" s="13">
        <v>0</v>
      </c>
      <c r="BR47" s="36">
        <v>1</v>
      </c>
      <c r="BS47" s="36">
        <v>1</v>
      </c>
      <c r="BT47" s="36">
        <v>1</v>
      </c>
      <c r="BU47" s="36">
        <v>1</v>
      </c>
      <c r="BV47" s="36">
        <v>1</v>
      </c>
      <c r="BW47" s="36">
        <v>1</v>
      </c>
      <c r="BX47" s="36">
        <v>0</v>
      </c>
      <c r="BY47" s="36">
        <v>0</v>
      </c>
      <c r="BZ47" s="109">
        <f t="shared" si="9"/>
        <v>6</v>
      </c>
      <c r="CA47" s="1" t="s">
        <v>28</v>
      </c>
      <c r="CB47" s="21">
        <v>500</v>
      </c>
      <c r="CC47" s="21">
        <v>1000</v>
      </c>
      <c r="CD47" s="20" t="s">
        <v>39</v>
      </c>
      <c r="CE47" s="11"/>
      <c r="CF47" s="11"/>
      <c r="CG47" s="11"/>
      <c r="CH47" s="105"/>
      <c r="CI47" s="11"/>
      <c r="CJ47" s="11"/>
      <c r="CK47" s="11"/>
      <c r="CL47" s="11"/>
      <c r="CM47" s="105"/>
      <c r="CN47" s="11"/>
    </row>
    <row r="48" spans="1:93" x14ac:dyDescent="0.25">
      <c r="A48" s="83" t="s">
        <v>163</v>
      </c>
      <c r="B48" s="249">
        <f>39.42505*30.44</f>
        <v>1200.098522</v>
      </c>
      <c r="C48" s="11">
        <v>17.45</v>
      </c>
      <c r="D48" s="11">
        <v>18.05</v>
      </c>
      <c r="E48" s="11">
        <v>5.01</v>
      </c>
      <c r="F48" s="11">
        <v>0</v>
      </c>
      <c r="G48" s="11">
        <v>17.45</v>
      </c>
      <c r="H48" s="11">
        <v>0</v>
      </c>
      <c r="I48" s="11">
        <v>0.05</v>
      </c>
      <c r="J48" s="11">
        <v>0</v>
      </c>
      <c r="K48" s="11">
        <v>0.14287</v>
      </c>
      <c r="L48" s="11">
        <v>0.10602</v>
      </c>
      <c r="M48" s="11">
        <v>8.072E-2</v>
      </c>
      <c r="N48" s="11">
        <v>0</v>
      </c>
      <c r="O48" s="11">
        <v>0.10067</v>
      </c>
      <c r="P48" s="11">
        <v>8.6959999999999996E-2</v>
      </c>
      <c r="Q48" s="30">
        <v>42917</v>
      </c>
      <c r="R48" s="13" t="s">
        <v>20</v>
      </c>
      <c r="S48" s="13" t="s">
        <v>20</v>
      </c>
      <c r="T48" s="13" t="s">
        <v>20</v>
      </c>
      <c r="U48" s="13" t="s">
        <v>20</v>
      </c>
      <c r="V48" s="13" t="s">
        <v>20</v>
      </c>
      <c r="W48" s="13" t="s">
        <v>20</v>
      </c>
      <c r="X48" s="13" t="s">
        <v>21</v>
      </c>
      <c r="Y48" s="13" t="s">
        <v>21</v>
      </c>
      <c r="Z48" s="13" t="s">
        <v>21</v>
      </c>
      <c r="AA48" s="13" t="s">
        <v>21</v>
      </c>
      <c r="AB48" s="13" t="s">
        <v>22</v>
      </c>
      <c r="AC48" s="13" t="s">
        <v>22</v>
      </c>
      <c r="AD48" s="13" t="s">
        <v>22</v>
      </c>
      <c r="AE48" s="13" t="s">
        <v>22</v>
      </c>
      <c r="AF48" s="13" t="s">
        <v>22</v>
      </c>
      <c r="AG48" s="13" t="s">
        <v>22</v>
      </c>
      <c r="AH48" s="13" t="s">
        <v>22</v>
      </c>
      <c r="AI48" s="13" t="s">
        <v>22</v>
      </c>
      <c r="AJ48" s="13" t="s">
        <v>22</v>
      </c>
      <c r="AK48" s="13" t="s">
        <v>22</v>
      </c>
      <c r="AL48" s="13" t="s">
        <v>21</v>
      </c>
      <c r="AM48" s="13" t="s">
        <v>21</v>
      </c>
      <c r="AN48" s="13" t="s">
        <v>21</v>
      </c>
      <c r="AO48" s="13" t="s">
        <v>21</v>
      </c>
      <c r="AP48" s="107" t="s">
        <v>21</v>
      </c>
      <c r="AQ48" s="13" t="s">
        <v>21</v>
      </c>
      <c r="AR48" s="13" t="s">
        <v>21</v>
      </c>
      <c r="AS48" s="13" t="s">
        <v>21</v>
      </c>
      <c r="AT48" s="13" t="s">
        <v>21</v>
      </c>
      <c r="AU48" s="13" t="s">
        <v>21</v>
      </c>
      <c r="AV48" s="13" t="s">
        <v>21</v>
      </c>
      <c r="AW48" s="13" t="s">
        <v>21</v>
      </c>
      <c r="AX48" s="13" t="s">
        <v>21</v>
      </c>
      <c r="AY48" s="13" t="s">
        <v>21</v>
      </c>
      <c r="AZ48" s="13" t="s">
        <v>22</v>
      </c>
      <c r="BA48" s="13" t="s">
        <v>22</v>
      </c>
      <c r="BB48" s="13" t="s">
        <v>22</v>
      </c>
      <c r="BC48" s="13" t="s">
        <v>22</v>
      </c>
      <c r="BD48" s="13" t="s">
        <v>22</v>
      </c>
      <c r="BE48" s="13" t="s">
        <v>22</v>
      </c>
      <c r="BF48" s="13" t="s">
        <v>22</v>
      </c>
      <c r="BG48" s="13" t="s">
        <v>22</v>
      </c>
      <c r="BH48" s="13" t="s">
        <v>22</v>
      </c>
      <c r="BI48" s="13" t="s">
        <v>22</v>
      </c>
      <c r="BJ48" s="13" t="s">
        <v>21</v>
      </c>
      <c r="BK48" s="13" t="s">
        <v>21</v>
      </c>
      <c r="BL48" s="13" t="s">
        <v>21</v>
      </c>
      <c r="BM48" s="13" t="s">
        <v>21</v>
      </c>
      <c r="BN48" s="36">
        <v>0</v>
      </c>
      <c r="BO48" s="36">
        <v>0</v>
      </c>
      <c r="BP48" s="36">
        <v>0</v>
      </c>
      <c r="BQ48" s="13">
        <v>0</v>
      </c>
      <c r="BR48" s="36">
        <v>1</v>
      </c>
      <c r="BS48" s="36">
        <v>1</v>
      </c>
      <c r="BT48" s="36">
        <v>1</v>
      </c>
      <c r="BU48" s="36">
        <v>1</v>
      </c>
      <c r="BV48" s="36">
        <v>1</v>
      </c>
      <c r="BW48" s="36">
        <v>1</v>
      </c>
      <c r="BX48" s="36">
        <v>0</v>
      </c>
      <c r="BY48" s="36">
        <v>0</v>
      </c>
      <c r="BZ48" s="109">
        <v>6</v>
      </c>
      <c r="CA48" s="1" t="s">
        <v>30</v>
      </c>
      <c r="CB48" s="21">
        <v>1000</v>
      </c>
      <c r="CC48" s="21" t="s">
        <v>15</v>
      </c>
      <c r="CD48" s="20" t="s">
        <v>39</v>
      </c>
      <c r="CE48" s="11"/>
      <c r="CF48" s="11"/>
      <c r="CG48" s="11"/>
      <c r="CH48" s="105"/>
      <c r="CI48" s="11"/>
      <c r="CJ48" s="11"/>
      <c r="CK48" s="11"/>
      <c r="CL48" s="11"/>
      <c r="CM48" s="105"/>
      <c r="CN48" s="11"/>
    </row>
    <row r="49" spans="1:93" x14ac:dyDescent="0.25">
      <c r="A49" s="83" t="s">
        <v>209</v>
      </c>
      <c r="B49" s="249">
        <v>90</v>
      </c>
      <c r="C49" s="11">
        <v>10.48</v>
      </c>
      <c r="D49" s="11">
        <v>0</v>
      </c>
      <c r="E49" s="11">
        <v>0</v>
      </c>
      <c r="F49" s="11">
        <v>0</v>
      </c>
      <c r="G49" s="11">
        <v>10.48</v>
      </c>
      <c r="H49" s="11">
        <v>0</v>
      </c>
      <c r="I49" s="11">
        <v>0</v>
      </c>
      <c r="J49" s="11">
        <v>0</v>
      </c>
      <c r="K49" s="11">
        <v>0</v>
      </c>
      <c r="L49" s="11">
        <v>0</v>
      </c>
      <c r="M49" s="11">
        <v>0</v>
      </c>
      <c r="N49" s="11">
        <v>0</v>
      </c>
      <c r="O49" s="11">
        <v>0</v>
      </c>
      <c r="P49" s="11">
        <v>0</v>
      </c>
      <c r="Q49" s="30">
        <v>41359</v>
      </c>
      <c r="R49" s="13" t="s">
        <v>22</v>
      </c>
      <c r="S49" s="13" t="s">
        <v>22</v>
      </c>
      <c r="T49" s="13" t="s">
        <v>22</v>
      </c>
      <c r="U49" s="13" t="s">
        <v>22</v>
      </c>
      <c r="V49" s="13" t="s">
        <v>22</v>
      </c>
      <c r="W49" s="13" t="s">
        <v>22</v>
      </c>
      <c r="X49" s="13" t="s">
        <v>22</v>
      </c>
      <c r="Y49" s="13" t="s">
        <v>22</v>
      </c>
      <c r="Z49" s="13" t="s">
        <v>22</v>
      </c>
      <c r="AA49" s="13" t="s">
        <v>22</v>
      </c>
      <c r="AB49" s="13" t="s">
        <v>22</v>
      </c>
      <c r="AC49" s="13" t="s">
        <v>22</v>
      </c>
      <c r="AD49" s="13" t="s">
        <v>22</v>
      </c>
      <c r="AE49" s="13" t="s">
        <v>22</v>
      </c>
      <c r="AF49" s="13" t="s">
        <v>22</v>
      </c>
      <c r="AG49" s="13" t="s">
        <v>22</v>
      </c>
      <c r="AH49" s="13" t="s">
        <v>22</v>
      </c>
      <c r="AI49" s="13" t="s">
        <v>22</v>
      </c>
      <c r="AJ49" s="13" t="s">
        <v>22</v>
      </c>
      <c r="AK49" s="13" t="s">
        <v>22</v>
      </c>
      <c r="AL49" s="13" t="s">
        <v>22</v>
      </c>
      <c r="AM49" s="13" t="s">
        <v>22</v>
      </c>
      <c r="AN49" s="13" t="s">
        <v>22</v>
      </c>
      <c r="AO49" s="162" t="s">
        <v>22</v>
      </c>
      <c r="AP49" s="107" t="s">
        <v>22</v>
      </c>
      <c r="AQ49" s="13" t="s">
        <v>22</v>
      </c>
      <c r="AR49" s="13" t="s">
        <v>22</v>
      </c>
      <c r="AS49" s="13" t="s">
        <v>22</v>
      </c>
      <c r="AT49" s="13" t="s">
        <v>22</v>
      </c>
      <c r="AU49" s="13" t="s">
        <v>22</v>
      </c>
      <c r="AV49" s="13" t="s">
        <v>22</v>
      </c>
      <c r="AW49" s="13" t="s">
        <v>22</v>
      </c>
      <c r="AX49" s="13" t="s">
        <v>22</v>
      </c>
      <c r="AY49" s="13" t="s">
        <v>22</v>
      </c>
      <c r="AZ49" s="13" t="s">
        <v>22</v>
      </c>
      <c r="BA49" s="13" t="s">
        <v>22</v>
      </c>
      <c r="BB49" s="13" t="s">
        <v>22</v>
      </c>
      <c r="BC49" s="13" t="s">
        <v>22</v>
      </c>
      <c r="BD49" s="13" t="s">
        <v>22</v>
      </c>
      <c r="BE49" s="13" t="s">
        <v>22</v>
      </c>
      <c r="BF49" s="13" t="s">
        <v>22</v>
      </c>
      <c r="BG49" s="13" t="s">
        <v>22</v>
      </c>
      <c r="BH49" s="13" t="s">
        <v>22</v>
      </c>
      <c r="BI49" s="13" t="s">
        <v>22</v>
      </c>
      <c r="BJ49" s="13" t="s">
        <v>22</v>
      </c>
      <c r="BK49" s="13" t="s">
        <v>22</v>
      </c>
      <c r="BL49" s="13" t="s">
        <v>22</v>
      </c>
      <c r="BM49" s="13" t="s">
        <v>22</v>
      </c>
      <c r="BN49" s="13">
        <v>1</v>
      </c>
      <c r="BO49" s="13">
        <v>1</v>
      </c>
      <c r="BP49" s="13">
        <v>1</v>
      </c>
      <c r="BQ49" s="13">
        <v>1</v>
      </c>
      <c r="BR49" s="13">
        <v>1</v>
      </c>
      <c r="BS49" s="13">
        <v>1</v>
      </c>
      <c r="BT49" s="13">
        <v>1</v>
      </c>
      <c r="BU49" s="13">
        <v>1</v>
      </c>
      <c r="BV49" s="13">
        <v>1</v>
      </c>
      <c r="BW49" s="13">
        <v>1</v>
      </c>
      <c r="BX49" s="13">
        <v>1</v>
      </c>
      <c r="BY49" s="13">
        <v>1</v>
      </c>
      <c r="BZ49" s="109">
        <f t="shared" ref="BZ49:BZ77" si="11">+SUM(BN49:BY49)</f>
        <v>12</v>
      </c>
      <c r="CA49" s="1" t="s">
        <v>212</v>
      </c>
      <c r="CB49" s="21">
        <v>20</v>
      </c>
      <c r="CC49" s="21">
        <v>150</v>
      </c>
      <c r="CD49" s="20" t="s">
        <v>37</v>
      </c>
      <c r="CE49" s="11">
        <v>0.1111</v>
      </c>
      <c r="CF49" s="11">
        <v>0.1217</v>
      </c>
      <c r="CG49" s="11"/>
      <c r="CH49" s="105">
        <v>30000</v>
      </c>
      <c r="CI49" s="105"/>
      <c r="CJ49" s="11">
        <v>0.1111</v>
      </c>
      <c r="CK49" s="11">
        <v>0.1217</v>
      </c>
      <c r="CL49" s="11"/>
      <c r="CM49" s="105">
        <v>30000</v>
      </c>
      <c r="CN49" s="105"/>
    </row>
    <row r="50" spans="1:93" x14ac:dyDescent="0.25">
      <c r="A50" s="83" t="s">
        <v>211</v>
      </c>
      <c r="B50" s="249">
        <f>704.66+1100</f>
        <v>1804.6599999999999</v>
      </c>
      <c r="C50" s="11">
        <v>0</v>
      </c>
      <c r="D50" s="11">
        <v>6.88</v>
      </c>
      <c r="E50" s="11">
        <v>2.74</v>
      </c>
      <c r="F50" s="11">
        <v>1.31</v>
      </c>
      <c r="G50" s="11">
        <v>0</v>
      </c>
      <c r="H50" s="11">
        <v>6.88</v>
      </c>
      <c r="I50" s="11">
        <v>2.74</v>
      </c>
      <c r="J50" s="11">
        <v>1.31</v>
      </c>
      <c r="K50" s="11">
        <v>0.1033</v>
      </c>
      <c r="L50" s="11">
        <v>8.2799999999999999E-2</v>
      </c>
      <c r="M50" s="11">
        <v>7.2700000000000001E-2</v>
      </c>
      <c r="N50" s="11">
        <v>0.1033</v>
      </c>
      <c r="O50" s="11">
        <v>8.2799999999999999E-2</v>
      </c>
      <c r="P50" s="11">
        <v>7.2700000000000001E-2</v>
      </c>
      <c r="Q50" s="30">
        <v>42186</v>
      </c>
      <c r="R50" s="13" t="s">
        <v>20</v>
      </c>
      <c r="S50" s="13" t="s">
        <v>20</v>
      </c>
      <c r="T50" s="13" t="s">
        <v>20</v>
      </c>
      <c r="U50" s="13" t="s">
        <v>20</v>
      </c>
      <c r="V50" s="13" t="s">
        <v>20</v>
      </c>
      <c r="W50" s="13" t="s">
        <v>20</v>
      </c>
      <c r="X50" s="13" t="s">
        <v>21</v>
      </c>
      <c r="Y50" s="13" t="s">
        <v>21</v>
      </c>
      <c r="Z50" s="13" t="s">
        <v>21</v>
      </c>
      <c r="AA50" s="13" t="s">
        <v>21</v>
      </c>
      <c r="AB50" s="13" t="s">
        <v>21</v>
      </c>
      <c r="AC50" s="13" t="s">
        <v>22</v>
      </c>
      <c r="AD50" s="13" t="s">
        <v>22</v>
      </c>
      <c r="AE50" s="13" t="s">
        <v>22</v>
      </c>
      <c r="AF50" s="13" t="s">
        <v>22</v>
      </c>
      <c r="AG50" s="13" t="s">
        <v>22</v>
      </c>
      <c r="AH50" s="13" t="s">
        <v>22</v>
      </c>
      <c r="AI50" s="13" t="s">
        <v>22</v>
      </c>
      <c r="AJ50" s="13" t="s">
        <v>22</v>
      </c>
      <c r="AK50" s="13" t="s">
        <v>22</v>
      </c>
      <c r="AL50" s="13" t="s">
        <v>21</v>
      </c>
      <c r="AM50" s="13" t="s">
        <v>21</v>
      </c>
      <c r="AN50" s="13" t="s">
        <v>21</v>
      </c>
      <c r="AO50" s="162" t="s">
        <v>21</v>
      </c>
      <c r="AP50" s="107" t="s">
        <v>21</v>
      </c>
      <c r="AQ50" s="13" t="s">
        <v>21</v>
      </c>
      <c r="AR50" s="13" t="s">
        <v>21</v>
      </c>
      <c r="AS50" s="13" t="s">
        <v>21</v>
      </c>
      <c r="AT50" s="13" t="s">
        <v>21</v>
      </c>
      <c r="AU50" s="13" t="s">
        <v>20</v>
      </c>
      <c r="AV50" s="13" t="s">
        <v>20</v>
      </c>
      <c r="AW50" s="13" t="s">
        <v>20</v>
      </c>
      <c r="AX50" s="13" t="s">
        <v>20</v>
      </c>
      <c r="AY50" s="13" t="s">
        <v>22</v>
      </c>
      <c r="AZ50" s="13" t="s">
        <v>22</v>
      </c>
      <c r="BA50" s="13" t="s">
        <v>22</v>
      </c>
      <c r="BB50" s="13" t="s">
        <v>22</v>
      </c>
      <c r="BC50" s="13" t="s">
        <v>22</v>
      </c>
      <c r="BD50" s="13" t="s">
        <v>22</v>
      </c>
      <c r="BE50" s="13" t="s">
        <v>22</v>
      </c>
      <c r="BF50" s="13" t="s">
        <v>22</v>
      </c>
      <c r="BG50" s="13" t="s">
        <v>22</v>
      </c>
      <c r="BH50" s="13" t="s">
        <v>22</v>
      </c>
      <c r="BI50" s="13" t="s">
        <v>22</v>
      </c>
      <c r="BJ50" s="13" t="s">
        <v>21</v>
      </c>
      <c r="BK50" s="13" t="s">
        <v>21</v>
      </c>
      <c r="BL50" s="13" t="s">
        <v>21</v>
      </c>
      <c r="BM50" s="13" t="s">
        <v>21</v>
      </c>
      <c r="BN50" s="13">
        <v>0</v>
      </c>
      <c r="BO50" s="13">
        <v>0</v>
      </c>
      <c r="BP50" s="13">
        <v>0</v>
      </c>
      <c r="BQ50" s="13">
        <v>0</v>
      </c>
      <c r="BR50" s="13">
        <v>0</v>
      </c>
      <c r="BS50" s="13">
        <v>1</v>
      </c>
      <c r="BT50" s="13">
        <v>1</v>
      </c>
      <c r="BU50" s="13">
        <v>1</v>
      </c>
      <c r="BV50" s="13">
        <v>1</v>
      </c>
      <c r="BW50" s="13">
        <v>0</v>
      </c>
      <c r="BX50" s="13">
        <v>0</v>
      </c>
      <c r="BY50" s="13">
        <v>0</v>
      </c>
      <c r="BZ50" s="109">
        <f t="shared" si="11"/>
        <v>4</v>
      </c>
      <c r="CA50" s="1" t="s">
        <v>210</v>
      </c>
      <c r="CB50" s="21">
        <v>150</v>
      </c>
      <c r="CC50" s="21" t="s">
        <v>15</v>
      </c>
      <c r="CD50" s="20" t="s">
        <v>39</v>
      </c>
      <c r="CE50" s="11"/>
      <c r="CF50" s="11"/>
      <c r="CG50" s="11"/>
      <c r="CH50" s="105"/>
      <c r="CI50" s="11"/>
      <c r="CJ50" s="11"/>
      <c r="CK50" s="11"/>
      <c r="CL50" s="11"/>
      <c r="CM50" s="105"/>
      <c r="CN50" s="11"/>
    </row>
    <row r="51" spans="1:93" x14ac:dyDescent="0.25">
      <c r="A51" s="83" t="s">
        <v>72</v>
      </c>
      <c r="B51" s="249">
        <v>65</v>
      </c>
      <c r="C51" s="11">
        <v>6.16</v>
      </c>
      <c r="D51" s="11">
        <v>0</v>
      </c>
      <c r="E51" s="11">
        <v>0</v>
      </c>
      <c r="F51" s="11">
        <v>0</v>
      </c>
      <c r="G51" s="11">
        <v>6.16</v>
      </c>
      <c r="H51" s="11">
        <v>0</v>
      </c>
      <c r="I51" s="11">
        <v>0</v>
      </c>
      <c r="J51" s="11">
        <v>0</v>
      </c>
      <c r="K51" s="11">
        <f>0.1235+0.0056+0.0002+0.00129+0.00029</f>
        <v>0.13088000000000002</v>
      </c>
      <c r="L51" s="11">
        <f>0.1235+0.0056+0.0002+0.00129+0.00029</f>
        <v>0.13088000000000002</v>
      </c>
      <c r="M51" s="11">
        <f>0.1235+0.0056+0.0002+0.00129+0.00029</f>
        <v>0.13088000000000002</v>
      </c>
      <c r="N51" s="11">
        <f>0.1028+0.0056+0.0002+0.00129+0.00029</f>
        <v>0.11018</v>
      </c>
      <c r="O51" s="11">
        <f>0.1028+0.0056+0.0002+0.00129+0.00029</f>
        <v>0.11018</v>
      </c>
      <c r="P51" s="11">
        <f>0.1028+0.0056+0.0002+0.00129+0.00029</f>
        <v>0.11018</v>
      </c>
      <c r="Q51" s="30">
        <v>43282</v>
      </c>
      <c r="R51" s="13" t="s">
        <v>22</v>
      </c>
      <c r="S51" s="13" t="s">
        <v>22</v>
      </c>
      <c r="T51" s="13" t="s">
        <v>22</v>
      </c>
      <c r="U51" s="13" t="s">
        <v>22</v>
      </c>
      <c r="V51" s="13" t="s">
        <v>20</v>
      </c>
      <c r="W51" s="13" t="s">
        <v>20</v>
      </c>
      <c r="X51" s="13" t="s">
        <v>20</v>
      </c>
      <c r="Y51" s="13" t="s">
        <v>21</v>
      </c>
      <c r="Z51" s="13" t="s">
        <v>21</v>
      </c>
      <c r="AA51" s="13" t="s">
        <v>21</v>
      </c>
      <c r="AB51" s="13" t="s">
        <v>22</v>
      </c>
      <c r="AC51" s="13" t="s">
        <v>22</v>
      </c>
      <c r="AD51" s="13" t="s">
        <v>22</v>
      </c>
      <c r="AE51" s="13" t="s">
        <v>22</v>
      </c>
      <c r="AF51" s="13" t="s">
        <v>22</v>
      </c>
      <c r="AG51" s="13" t="s">
        <v>22</v>
      </c>
      <c r="AH51" s="13" t="s">
        <v>22</v>
      </c>
      <c r="AI51" s="13" t="s">
        <v>22</v>
      </c>
      <c r="AJ51" s="13" t="s">
        <v>22</v>
      </c>
      <c r="AK51" s="13" t="s">
        <v>21</v>
      </c>
      <c r="AL51" s="13" t="s">
        <v>21</v>
      </c>
      <c r="AM51" s="13" t="s">
        <v>21</v>
      </c>
      <c r="AN51" s="13" t="s">
        <v>21</v>
      </c>
      <c r="AO51" s="13" t="s">
        <v>21</v>
      </c>
      <c r="AP51" s="107" t="s">
        <v>22</v>
      </c>
      <c r="AQ51" s="13" t="s">
        <v>22</v>
      </c>
      <c r="AR51" s="13" t="s">
        <v>22</v>
      </c>
      <c r="AS51" s="13" t="s">
        <v>22</v>
      </c>
      <c r="AT51" s="13" t="s">
        <v>20</v>
      </c>
      <c r="AU51" s="13" t="s">
        <v>20</v>
      </c>
      <c r="AV51" s="13" t="s">
        <v>20</v>
      </c>
      <c r="AW51" s="13" t="s">
        <v>21</v>
      </c>
      <c r="AX51" s="13" t="s">
        <v>21</v>
      </c>
      <c r="AY51" s="13" t="s">
        <v>21</v>
      </c>
      <c r="AZ51" s="13" t="s">
        <v>22</v>
      </c>
      <c r="BA51" s="13" t="s">
        <v>22</v>
      </c>
      <c r="BB51" s="13" t="s">
        <v>22</v>
      </c>
      <c r="BC51" s="13" t="s">
        <v>22</v>
      </c>
      <c r="BD51" s="13" t="s">
        <v>22</v>
      </c>
      <c r="BE51" s="13" t="s">
        <v>22</v>
      </c>
      <c r="BF51" s="13" t="s">
        <v>22</v>
      </c>
      <c r="BG51" s="13" t="s">
        <v>22</v>
      </c>
      <c r="BH51" s="13" t="s">
        <v>22</v>
      </c>
      <c r="BI51" s="13" t="s">
        <v>21</v>
      </c>
      <c r="BJ51" s="13" t="s">
        <v>21</v>
      </c>
      <c r="BK51" s="13" t="s">
        <v>21</v>
      </c>
      <c r="BL51" s="13" t="s">
        <v>21</v>
      </c>
      <c r="BM51" s="13" t="s">
        <v>21</v>
      </c>
      <c r="BN51" s="36">
        <v>0</v>
      </c>
      <c r="BO51" s="36">
        <v>0</v>
      </c>
      <c r="BP51" s="36">
        <v>0</v>
      </c>
      <c r="BQ51" s="13">
        <v>0</v>
      </c>
      <c r="BR51" s="13">
        <v>0</v>
      </c>
      <c r="BS51" s="13">
        <v>1</v>
      </c>
      <c r="BT51" s="13">
        <v>1</v>
      </c>
      <c r="BU51" s="13">
        <v>1</v>
      </c>
      <c r="BV51" s="13">
        <v>1</v>
      </c>
      <c r="BW51" s="13">
        <v>0</v>
      </c>
      <c r="BX51" s="36">
        <v>0</v>
      </c>
      <c r="BY51" s="36">
        <v>0</v>
      </c>
      <c r="BZ51" s="109">
        <f t="shared" si="11"/>
        <v>4</v>
      </c>
      <c r="CA51" s="1" t="s">
        <v>29</v>
      </c>
      <c r="CB51" s="21">
        <v>20</v>
      </c>
      <c r="CC51" s="21">
        <v>500</v>
      </c>
      <c r="CD51" s="20" t="s">
        <v>39</v>
      </c>
      <c r="CE51" s="11"/>
      <c r="CF51" s="11"/>
      <c r="CG51" s="11"/>
      <c r="CH51" s="105"/>
      <c r="CI51" s="11"/>
      <c r="CJ51" s="11"/>
      <c r="CK51" s="11"/>
      <c r="CL51" s="11"/>
      <c r="CM51" s="105"/>
      <c r="CN51" s="11"/>
    </row>
    <row r="52" spans="1:93" x14ac:dyDescent="0.25">
      <c r="A52" s="83" t="s">
        <v>73</v>
      </c>
      <c r="B52" s="249">
        <v>521</v>
      </c>
      <c r="C52" s="11">
        <v>11.57</v>
      </c>
      <c r="D52" s="11">
        <v>0</v>
      </c>
      <c r="E52" s="11">
        <v>0</v>
      </c>
      <c r="F52" s="11">
        <v>0</v>
      </c>
      <c r="G52" s="11">
        <v>6.6</v>
      </c>
      <c r="H52" s="11">
        <v>0</v>
      </c>
      <c r="I52" s="11">
        <v>0</v>
      </c>
      <c r="J52" s="11">
        <v>0</v>
      </c>
      <c r="K52" s="11">
        <f>0.1408+0.0056+0.0002+0.00129+0.00029</f>
        <v>0.14818000000000003</v>
      </c>
      <c r="L52" s="11">
        <f>0.1098+0.0056+0.0002+0.00129+0.00029</f>
        <v>0.11717999999999999</v>
      </c>
      <c r="M52" s="11">
        <f>0.089+0.0056+0.0002+0.00129+0.00029</f>
        <v>9.6379999999999993E-2</v>
      </c>
      <c r="N52" s="11">
        <f>0.089+0.0056+0.0002+0.00129+0.00029</f>
        <v>9.6379999999999993E-2</v>
      </c>
      <c r="O52" s="11">
        <f>0.089+0.0056+0.0002+0.00129+0.00029</f>
        <v>9.6379999999999993E-2</v>
      </c>
      <c r="P52" s="11">
        <f>0.0682+0.0056+0.0002+0.00129+0.00029</f>
        <v>7.5579999999999994E-2</v>
      </c>
      <c r="Q52" s="30">
        <v>43282</v>
      </c>
      <c r="R52" s="13" t="s">
        <v>22</v>
      </c>
      <c r="S52" s="13" t="s">
        <v>22</v>
      </c>
      <c r="T52" s="13" t="s">
        <v>22</v>
      </c>
      <c r="U52" s="13" t="s">
        <v>22</v>
      </c>
      <c r="V52" s="13" t="s">
        <v>20</v>
      </c>
      <c r="W52" s="13" t="s">
        <v>20</v>
      </c>
      <c r="X52" s="13" t="s">
        <v>20</v>
      </c>
      <c r="Y52" s="13" t="s">
        <v>21</v>
      </c>
      <c r="Z52" s="13" t="s">
        <v>21</v>
      </c>
      <c r="AA52" s="13" t="s">
        <v>21</v>
      </c>
      <c r="AB52" s="13" t="s">
        <v>22</v>
      </c>
      <c r="AC52" s="13" t="s">
        <v>22</v>
      </c>
      <c r="AD52" s="13" t="s">
        <v>22</v>
      </c>
      <c r="AE52" s="13" t="s">
        <v>22</v>
      </c>
      <c r="AF52" s="13" t="s">
        <v>22</v>
      </c>
      <c r="AG52" s="13" t="s">
        <v>22</v>
      </c>
      <c r="AH52" s="13" t="s">
        <v>22</v>
      </c>
      <c r="AI52" s="13" t="s">
        <v>22</v>
      </c>
      <c r="AJ52" s="13" t="s">
        <v>22</v>
      </c>
      <c r="AK52" s="13" t="s">
        <v>21</v>
      </c>
      <c r="AL52" s="13" t="s">
        <v>21</v>
      </c>
      <c r="AM52" s="13" t="s">
        <v>21</v>
      </c>
      <c r="AN52" s="13" t="s">
        <v>21</v>
      </c>
      <c r="AO52" s="13" t="s">
        <v>21</v>
      </c>
      <c r="AP52" s="107" t="s">
        <v>22</v>
      </c>
      <c r="AQ52" s="13" t="s">
        <v>22</v>
      </c>
      <c r="AR52" s="13" t="s">
        <v>22</v>
      </c>
      <c r="AS52" s="13" t="s">
        <v>22</v>
      </c>
      <c r="AT52" s="13" t="s">
        <v>20</v>
      </c>
      <c r="AU52" s="13" t="s">
        <v>20</v>
      </c>
      <c r="AV52" s="13" t="s">
        <v>20</v>
      </c>
      <c r="AW52" s="13" t="s">
        <v>21</v>
      </c>
      <c r="AX52" s="13" t="s">
        <v>21</v>
      </c>
      <c r="AY52" s="13" t="s">
        <v>21</v>
      </c>
      <c r="AZ52" s="13" t="s">
        <v>22</v>
      </c>
      <c r="BA52" s="13" t="s">
        <v>22</v>
      </c>
      <c r="BB52" s="13" t="s">
        <v>22</v>
      </c>
      <c r="BC52" s="13" t="s">
        <v>22</v>
      </c>
      <c r="BD52" s="13" t="s">
        <v>22</v>
      </c>
      <c r="BE52" s="13" t="s">
        <v>22</v>
      </c>
      <c r="BF52" s="13" t="s">
        <v>22</v>
      </c>
      <c r="BG52" s="13" t="s">
        <v>22</v>
      </c>
      <c r="BH52" s="13" t="s">
        <v>22</v>
      </c>
      <c r="BI52" s="13" t="s">
        <v>21</v>
      </c>
      <c r="BJ52" s="13" t="s">
        <v>21</v>
      </c>
      <c r="BK52" s="13" t="s">
        <v>21</v>
      </c>
      <c r="BL52" s="13" t="s">
        <v>21</v>
      </c>
      <c r="BM52" s="13" t="s">
        <v>21</v>
      </c>
      <c r="BN52" s="36">
        <v>0</v>
      </c>
      <c r="BO52" s="36">
        <v>0</v>
      </c>
      <c r="BP52" s="36">
        <v>0</v>
      </c>
      <c r="BQ52" s="13">
        <v>0</v>
      </c>
      <c r="BR52" s="13">
        <v>0</v>
      </c>
      <c r="BS52" s="13">
        <v>1</v>
      </c>
      <c r="BT52" s="13">
        <v>1</v>
      </c>
      <c r="BU52" s="13">
        <v>1</v>
      </c>
      <c r="BV52" s="13">
        <v>1</v>
      </c>
      <c r="BW52" s="13">
        <v>0</v>
      </c>
      <c r="BX52" s="36">
        <v>0</v>
      </c>
      <c r="BY52" s="36">
        <v>0</v>
      </c>
      <c r="BZ52" s="109">
        <f t="shared" si="11"/>
        <v>4</v>
      </c>
      <c r="CA52" s="1" t="s">
        <v>294</v>
      </c>
      <c r="CB52" s="21">
        <v>500</v>
      </c>
      <c r="CC52" s="21">
        <v>1000</v>
      </c>
      <c r="CD52" s="20" t="s">
        <v>39</v>
      </c>
      <c r="CE52" s="11"/>
      <c r="CF52" s="11"/>
      <c r="CG52" s="11"/>
      <c r="CH52" s="105"/>
      <c r="CI52" s="11"/>
      <c r="CJ52" s="11"/>
      <c r="CK52" s="11"/>
      <c r="CL52" s="11"/>
      <c r="CM52" s="105"/>
      <c r="CN52" s="11"/>
    </row>
    <row r="53" spans="1:93" x14ac:dyDescent="0.25">
      <c r="A53" s="83" t="s">
        <v>70</v>
      </c>
      <c r="B53" s="249">
        <v>591</v>
      </c>
      <c r="C53" s="11">
        <v>11.51</v>
      </c>
      <c r="D53" s="11">
        <v>0</v>
      </c>
      <c r="E53" s="11">
        <v>0</v>
      </c>
      <c r="F53" s="11">
        <v>0</v>
      </c>
      <c r="G53" s="11">
        <v>6.71</v>
      </c>
      <c r="H53" s="11">
        <v>0</v>
      </c>
      <c r="I53" s="11">
        <v>0</v>
      </c>
      <c r="J53" s="11">
        <v>0</v>
      </c>
      <c r="K53" s="11">
        <f>0.1408+0.0056+0.0002+0.00029+0.00129</f>
        <v>0.14818000000000003</v>
      </c>
      <c r="L53" s="11">
        <f>0.1098+0.0056+0.0002+0.00029+0.00129</f>
        <v>0.11717999999999999</v>
      </c>
      <c r="M53" s="11">
        <f>0.089+0.0056+0.0002+0.00029+0.00129</f>
        <v>9.6379999999999993E-2</v>
      </c>
      <c r="N53" s="11">
        <f>0.089+0.0056+0.0002+0.00029+0.00129</f>
        <v>9.6379999999999993E-2</v>
      </c>
      <c r="O53" s="11">
        <f>0.089+0.0056+0.0002+0.00029+0.00129</f>
        <v>9.6379999999999993E-2</v>
      </c>
      <c r="P53" s="11">
        <f>0.0682+0.0056+0.0002+0.00029+0.00129</f>
        <v>7.5579999999999994E-2</v>
      </c>
      <c r="Q53" s="30">
        <v>42736</v>
      </c>
      <c r="R53" s="13" t="s">
        <v>22</v>
      </c>
      <c r="S53" s="13" t="s">
        <v>22</v>
      </c>
      <c r="T53" s="13" t="s">
        <v>22</v>
      </c>
      <c r="U53" s="13" t="s">
        <v>22</v>
      </c>
      <c r="V53" s="13" t="s">
        <v>20</v>
      </c>
      <c r="W53" s="13" t="s">
        <v>20</v>
      </c>
      <c r="X53" s="13" t="s">
        <v>20</v>
      </c>
      <c r="Y53" s="13" t="s">
        <v>21</v>
      </c>
      <c r="Z53" s="13" t="s">
        <v>21</v>
      </c>
      <c r="AA53" s="13" t="s">
        <v>21</v>
      </c>
      <c r="AB53" s="13" t="s">
        <v>22</v>
      </c>
      <c r="AC53" s="13" t="s">
        <v>22</v>
      </c>
      <c r="AD53" s="13" t="s">
        <v>22</v>
      </c>
      <c r="AE53" s="13" t="s">
        <v>22</v>
      </c>
      <c r="AF53" s="13" t="s">
        <v>22</v>
      </c>
      <c r="AG53" s="13" t="s">
        <v>22</v>
      </c>
      <c r="AH53" s="13" t="s">
        <v>22</v>
      </c>
      <c r="AI53" s="13" t="s">
        <v>22</v>
      </c>
      <c r="AJ53" s="13" t="s">
        <v>22</v>
      </c>
      <c r="AK53" s="13" t="s">
        <v>21</v>
      </c>
      <c r="AL53" s="13" t="s">
        <v>21</v>
      </c>
      <c r="AM53" s="13" t="s">
        <v>21</v>
      </c>
      <c r="AN53" s="13" t="s">
        <v>21</v>
      </c>
      <c r="AO53" s="13" t="s">
        <v>21</v>
      </c>
      <c r="AP53" s="107" t="s">
        <v>22</v>
      </c>
      <c r="AQ53" s="13" t="s">
        <v>22</v>
      </c>
      <c r="AR53" s="13" t="s">
        <v>22</v>
      </c>
      <c r="AS53" s="13" t="s">
        <v>22</v>
      </c>
      <c r="AT53" s="13" t="s">
        <v>20</v>
      </c>
      <c r="AU53" s="13" t="s">
        <v>20</v>
      </c>
      <c r="AV53" s="13" t="s">
        <v>20</v>
      </c>
      <c r="AW53" s="13" t="s">
        <v>21</v>
      </c>
      <c r="AX53" s="13" t="s">
        <v>21</v>
      </c>
      <c r="AY53" s="13" t="s">
        <v>21</v>
      </c>
      <c r="AZ53" s="13" t="s">
        <v>22</v>
      </c>
      <c r="BA53" s="13" t="s">
        <v>22</v>
      </c>
      <c r="BB53" s="13" t="s">
        <v>22</v>
      </c>
      <c r="BC53" s="13" t="s">
        <v>22</v>
      </c>
      <c r="BD53" s="13" t="s">
        <v>22</v>
      </c>
      <c r="BE53" s="13" t="s">
        <v>22</v>
      </c>
      <c r="BF53" s="13" t="s">
        <v>22</v>
      </c>
      <c r="BG53" s="13" t="s">
        <v>22</v>
      </c>
      <c r="BH53" s="13" t="s">
        <v>22</v>
      </c>
      <c r="BI53" s="13" t="s">
        <v>21</v>
      </c>
      <c r="BJ53" s="13" t="s">
        <v>21</v>
      </c>
      <c r="BK53" s="13" t="s">
        <v>21</v>
      </c>
      <c r="BL53" s="13" t="s">
        <v>21</v>
      </c>
      <c r="BM53" s="13" t="s">
        <v>21</v>
      </c>
      <c r="BN53" s="36">
        <v>0</v>
      </c>
      <c r="BO53" s="36">
        <v>0</v>
      </c>
      <c r="BP53" s="36">
        <v>0</v>
      </c>
      <c r="BQ53" s="13">
        <v>0</v>
      </c>
      <c r="BR53" s="13">
        <v>0</v>
      </c>
      <c r="BS53" s="13">
        <v>1</v>
      </c>
      <c r="BT53" s="13">
        <v>1</v>
      </c>
      <c r="BU53" s="13">
        <v>1</v>
      </c>
      <c r="BV53" s="13">
        <v>1</v>
      </c>
      <c r="BW53" s="13">
        <v>0</v>
      </c>
      <c r="BX53" s="36">
        <v>0</v>
      </c>
      <c r="BY53" s="36">
        <v>0</v>
      </c>
      <c r="BZ53" s="109">
        <f t="shared" si="11"/>
        <v>4</v>
      </c>
      <c r="CA53" s="1" t="s">
        <v>30</v>
      </c>
      <c r="CB53" s="21">
        <v>1000</v>
      </c>
      <c r="CC53" s="21" t="s">
        <v>15</v>
      </c>
      <c r="CD53" s="20" t="s">
        <v>39</v>
      </c>
      <c r="CE53" s="11"/>
      <c r="CF53" s="11"/>
      <c r="CG53" s="11"/>
      <c r="CH53" s="105"/>
      <c r="CI53" s="11"/>
      <c r="CJ53" s="11"/>
      <c r="CK53" s="11"/>
      <c r="CL53" s="11"/>
      <c r="CM53" s="105"/>
      <c r="CN53" s="11"/>
    </row>
    <row r="54" spans="1:93" x14ac:dyDescent="0.25">
      <c r="A54" s="235" t="s">
        <v>71</v>
      </c>
      <c r="B54" s="249">
        <v>228.58</v>
      </c>
      <c r="C54" s="11">
        <v>15.89</v>
      </c>
      <c r="D54" s="11">
        <v>0</v>
      </c>
      <c r="E54" s="11">
        <v>0</v>
      </c>
      <c r="F54" s="11">
        <v>0</v>
      </c>
      <c r="G54" s="11">
        <v>15.89</v>
      </c>
      <c r="H54" s="11">
        <v>0</v>
      </c>
      <c r="I54" s="11">
        <v>0</v>
      </c>
      <c r="J54" s="11">
        <v>0</v>
      </c>
      <c r="K54" s="11">
        <f>0.0227+0.26028</f>
        <v>0.28298000000000001</v>
      </c>
      <c r="L54" s="11">
        <f xml:space="preserve"> 0.0227+ 0.07397</f>
        <v>9.6669999999999992E-2</v>
      </c>
      <c r="M54" s="11">
        <f xml:space="preserve">  0.0227+ 0.03345</f>
        <v>5.6150000000000005E-2</v>
      </c>
      <c r="N54" s="11">
        <f xml:space="preserve"> 0.0227+0.0701</f>
        <v>9.2799999999999994E-2</v>
      </c>
      <c r="O54" s="11">
        <f xml:space="preserve">  0.0227+0.05531</f>
        <v>7.8009999999999996E-2</v>
      </c>
      <c r="P54" s="11">
        <f xml:space="preserve">  0.0227+ 0.03809</f>
        <v>6.0789999999999997E-2</v>
      </c>
      <c r="Q54" s="30">
        <v>43101</v>
      </c>
      <c r="R54" s="13" t="s">
        <v>20</v>
      </c>
      <c r="S54" s="13" t="s">
        <v>20</v>
      </c>
      <c r="T54" s="13" t="s">
        <v>20</v>
      </c>
      <c r="U54" s="13" t="s">
        <v>20</v>
      </c>
      <c r="V54" s="13" t="s">
        <v>20</v>
      </c>
      <c r="W54" s="13" t="s">
        <v>20</v>
      </c>
      <c r="X54" s="13" t="s">
        <v>21</v>
      </c>
      <c r="Y54" s="13" t="s">
        <v>21</v>
      </c>
      <c r="Z54" s="13" t="s">
        <v>21</v>
      </c>
      <c r="AA54" s="13" t="s">
        <v>21</v>
      </c>
      <c r="AB54" s="13" t="s">
        <v>21</v>
      </c>
      <c r="AC54" s="13" t="s">
        <v>22</v>
      </c>
      <c r="AD54" s="13" t="s">
        <v>22</v>
      </c>
      <c r="AE54" s="13" t="s">
        <v>22</v>
      </c>
      <c r="AF54" s="13" t="s">
        <v>22</v>
      </c>
      <c r="AG54" s="13" t="s">
        <v>22</v>
      </c>
      <c r="AH54" s="13" t="s">
        <v>22</v>
      </c>
      <c r="AI54" s="13" t="s">
        <v>22</v>
      </c>
      <c r="AJ54" s="13" t="s">
        <v>22</v>
      </c>
      <c r="AK54" s="13" t="s">
        <v>22</v>
      </c>
      <c r="AL54" s="13" t="s">
        <v>21</v>
      </c>
      <c r="AM54" s="13" t="s">
        <v>21</v>
      </c>
      <c r="AN54" s="13" t="s">
        <v>21</v>
      </c>
      <c r="AO54" s="13" t="s">
        <v>21</v>
      </c>
      <c r="AP54" s="13" t="s">
        <v>20</v>
      </c>
      <c r="AQ54" s="13" t="s">
        <v>20</v>
      </c>
      <c r="AR54" s="13" t="s">
        <v>20</v>
      </c>
      <c r="AS54" s="13" t="s">
        <v>20</v>
      </c>
      <c r="AT54" s="13" t="s">
        <v>20</v>
      </c>
      <c r="AU54" s="13" t="s">
        <v>20</v>
      </c>
      <c r="AV54" s="13" t="s">
        <v>21</v>
      </c>
      <c r="AW54" s="13" t="s">
        <v>21</v>
      </c>
      <c r="AX54" s="13" t="s">
        <v>21</v>
      </c>
      <c r="AY54" s="13" t="s">
        <v>21</v>
      </c>
      <c r="AZ54" s="13" t="s">
        <v>21</v>
      </c>
      <c r="BA54" s="13" t="s">
        <v>22</v>
      </c>
      <c r="BB54" s="13" t="s">
        <v>22</v>
      </c>
      <c r="BC54" s="13" t="s">
        <v>22</v>
      </c>
      <c r="BD54" s="13" t="s">
        <v>22</v>
      </c>
      <c r="BE54" s="13" t="s">
        <v>22</v>
      </c>
      <c r="BF54" s="13" t="s">
        <v>22</v>
      </c>
      <c r="BG54" s="13" t="s">
        <v>22</v>
      </c>
      <c r="BH54" s="13" t="s">
        <v>22</v>
      </c>
      <c r="BI54" s="13" t="s">
        <v>22</v>
      </c>
      <c r="BJ54" s="13" t="s">
        <v>21</v>
      </c>
      <c r="BK54" s="13" t="s">
        <v>21</v>
      </c>
      <c r="BL54" s="13" t="s">
        <v>21</v>
      </c>
      <c r="BM54" s="13" t="s">
        <v>21</v>
      </c>
      <c r="BN54" s="36">
        <v>0</v>
      </c>
      <c r="BO54" s="36">
        <v>0</v>
      </c>
      <c r="BP54" s="36">
        <v>0</v>
      </c>
      <c r="BQ54" s="36">
        <v>0</v>
      </c>
      <c r="BR54" s="36">
        <v>0</v>
      </c>
      <c r="BS54" s="37">
        <v>1</v>
      </c>
      <c r="BT54" s="37">
        <v>1</v>
      </c>
      <c r="BU54" s="37">
        <v>1</v>
      </c>
      <c r="BV54" s="37">
        <v>1</v>
      </c>
      <c r="BW54" s="36">
        <v>0</v>
      </c>
      <c r="BX54" s="36">
        <v>0</v>
      </c>
      <c r="BY54" s="36">
        <v>0</v>
      </c>
      <c r="BZ54" s="109">
        <f t="shared" si="11"/>
        <v>4</v>
      </c>
      <c r="CA54" s="1" t="s">
        <v>63</v>
      </c>
      <c r="CB54" s="21">
        <v>20</v>
      </c>
      <c r="CC54" s="21">
        <v>500</v>
      </c>
      <c r="CD54" s="20" t="s">
        <v>39</v>
      </c>
      <c r="CE54" s="11"/>
      <c r="CF54" s="11"/>
      <c r="CG54" s="11"/>
      <c r="CH54" s="105"/>
      <c r="CI54" s="11"/>
      <c r="CJ54" s="11"/>
      <c r="CK54" s="11"/>
      <c r="CL54" s="11"/>
      <c r="CM54" s="105"/>
      <c r="CN54" s="11"/>
      <c r="CO54" t="s">
        <v>349</v>
      </c>
    </row>
    <row r="55" spans="1:93" x14ac:dyDescent="0.25">
      <c r="A55" s="235" t="s">
        <v>305</v>
      </c>
      <c r="B55" s="249">
        <v>658.17</v>
      </c>
      <c r="C55" s="11">
        <v>11.81</v>
      </c>
      <c r="D55" s="11">
        <v>0</v>
      </c>
      <c r="E55" s="11">
        <v>0</v>
      </c>
      <c r="F55" s="11">
        <v>0</v>
      </c>
      <c r="G55" s="11">
        <v>11.81</v>
      </c>
      <c r="H55" s="11">
        <v>0</v>
      </c>
      <c r="I55" s="11">
        <v>0</v>
      </c>
      <c r="J55" s="11">
        <v>0</v>
      </c>
      <c r="K55" s="11">
        <f>0.0398+0.41917</f>
        <v>0.45896999999999999</v>
      </c>
      <c r="L55" s="11">
        <f xml:space="preserve"> 0.0398+0.05426</f>
        <v>9.4060000000000005E-2</v>
      </c>
      <c r="M55" s="11">
        <f xml:space="preserve"> 0.0398+0.03336</f>
        <v>7.3160000000000003E-2</v>
      </c>
      <c r="N55" s="11">
        <f>0.0398+0.04939</f>
        <v>8.9190000000000005E-2</v>
      </c>
      <c r="O55" s="11">
        <f>0.0398+0.04538</f>
        <v>8.5180000000000006E-2</v>
      </c>
      <c r="P55" s="11">
        <f>0.0398+0.03771</f>
        <v>7.7509999999999996E-2</v>
      </c>
      <c r="Q55" s="233">
        <v>43252</v>
      </c>
      <c r="R55" s="13" t="s">
        <v>21</v>
      </c>
      <c r="S55" s="13" t="s">
        <v>21</v>
      </c>
      <c r="T55" s="13" t="s">
        <v>20</v>
      </c>
      <c r="U55" s="13" t="s">
        <v>20</v>
      </c>
      <c r="V55" s="13" t="s">
        <v>20</v>
      </c>
      <c r="W55" s="13" t="s">
        <v>20</v>
      </c>
      <c r="X55" s="13" t="s">
        <v>20</v>
      </c>
      <c r="Y55" s="13" t="s">
        <v>20</v>
      </c>
      <c r="Z55" s="13" t="s">
        <v>21</v>
      </c>
      <c r="AA55" s="13" t="s">
        <v>21</v>
      </c>
      <c r="AB55" s="13" t="s">
        <v>22</v>
      </c>
      <c r="AC55" s="13" t="s">
        <v>22</v>
      </c>
      <c r="AD55" s="13" t="s">
        <v>22</v>
      </c>
      <c r="AE55" s="13" t="s">
        <v>22</v>
      </c>
      <c r="AF55" s="13" t="s">
        <v>22</v>
      </c>
      <c r="AG55" s="13" t="s">
        <v>22</v>
      </c>
      <c r="AH55" s="13" t="s">
        <v>22</v>
      </c>
      <c r="AI55" s="13" t="s">
        <v>22</v>
      </c>
      <c r="AJ55" s="13" t="s">
        <v>22</v>
      </c>
      <c r="AK55" s="13" t="s">
        <v>22</v>
      </c>
      <c r="AL55" s="13" t="s">
        <v>21</v>
      </c>
      <c r="AM55" s="13" t="s">
        <v>21</v>
      </c>
      <c r="AN55" s="13" t="s">
        <v>21</v>
      </c>
      <c r="AO55" s="161" t="s">
        <v>21</v>
      </c>
      <c r="AP55" s="13" t="s">
        <v>21</v>
      </c>
      <c r="AQ55" s="13" t="s">
        <v>21</v>
      </c>
      <c r="AR55" s="13" t="s">
        <v>20</v>
      </c>
      <c r="AS55" s="13" t="s">
        <v>20</v>
      </c>
      <c r="AT55" s="13" t="s">
        <v>20</v>
      </c>
      <c r="AU55" s="13" t="s">
        <v>20</v>
      </c>
      <c r="AV55" s="13" t="s">
        <v>20</v>
      </c>
      <c r="AW55" s="13" t="s">
        <v>20</v>
      </c>
      <c r="AX55" s="13" t="s">
        <v>21</v>
      </c>
      <c r="AY55" s="13" t="s">
        <v>21</v>
      </c>
      <c r="AZ55" s="13" t="s">
        <v>22</v>
      </c>
      <c r="BA55" s="13" t="s">
        <v>22</v>
      </c>
      <c r="BB55" s="13" t="s">
        <v>22</v>
      </c>
      <c r="BC55" s="13" t="s">
        <v>22</v>
      </c>
      <c r="BD55" s="13" t="s">
        <v>22</v>
      </c>
      <c r="BE55" s="13" t="s">
        <v>22</v>
      </c>
      <c r="BF55" s="13" t="s">
        <v>22</v>
      </c>
      <c r="BG55" s="13" t="s">
        <v>22</v>
      </c>
      <c r="BH55" s="13" t="s">
        <v>22</v>
      </c>
      <c r="BI55" s="13" t="s">
        <v>22</v>
      </c>
      <c r="BJ55" s="13" t="s">
        <v>21</v>
      </c>
      <c r="BK55" s="13" t="s">
        <v>21</v>
      </c>
      <c r="BL55" s="13" t="s">
        <v>21</v>
      </c>
      <c r="BM55" s="13" t="s">
        <v>21</v>
      </c>
      <c r="BN55" s="36">
        <v>0</v>
      </c>
      <c r="BO55" s="36">
        <v>0</v>
      </c>
      <c r="BP55" s="36">
        <v>0</v>
      </c>
      <c r="BQ55" s="36">
        <v>0</v>
      </c>
      <c r="BR55" s="36">
        <v>0</v>
      </c>
      <c r="BS55" s="37">
        <v>1</v>
      </c>
      <c r="BT55" s="37">
        <v>1</v>
      </c>
      <c r="BU55" s="37">
        <v>1</v>
      </c>
      <c r="BV55" s="37">
        <v>1</v>
      </c>
      <c r="BW55" s="36">
        <v>0</v>
      </c>
      <c r="BX55" s="36">
        <v>0</v>
      </c>
      <c r="BY55" s="36">
        <v>0</v>
      </c>
      <c r="BZ55" s="109">
        <f t="shared" si="11"/>
        <v>4</v>
      </c>
      <c r="CA55" s="1" t="s">
        <v>306</v>
      </c>
      <c r="CB55" s="21">
        <v>500</v>
      </c>
      <c r="CC55" s="21" t="s">
        <v>15</v>
      </c>
      <c r="CD55" s="20" t="s">
        <v>39</v>
      </c>
      <c r="CE55" s="11"/>
      <c r="CF55" s="11"/>
      <c r="CG55" s="11"/>
      <c r="CH55" s="105"/>
      <c r="CI55" s="11"/>
      <c r="CJ55" s="11"/>
      <c r="CK55" s="11"/>
      <c r="CL55" s="11"/>
      <c r="CM55" s="105"/>
      <c r="CN55" s="11"/>
      <c r="CO55" t="s">
        <v>350</v>
      </c>
    </row>
    <row r="56" spans="1:93" x14ac:dyDescent="0.25">
      <c r="A56" s="235" t="s">
        <v>316</v>
      </c>
      <c r="B56" s="249">
        <v>125.25</v>
      </c>
      <c r="C56" s="11">
        <v>0</v>
      </c>
      <c r="D56" s="11">
        <v>0</v>
      </c>
      <c r="E56" s="11">
        <v>0</v>
      </c>
      <c r="F56" s="11">
        <v>0</v>
      </c>
      <c r="G56" s="11">
        <v>0</v>
      </c>
      <c r="H56" s="11">
        <v>0</v>
      </c>
      <c r="I56" s="11">
        <v>0</v>
      </c>
      <c r="J56" s="11">
        <v>0</v>
      </c>
      <c r="K56" s="11">
        <f>0.18623+0.2758-0.00458</f>
        <v>0.45745000000000002</v>
      </c>
      <c r="L56" s="11">
        <f>0.18623+0.0696-0.00458</f>
        <v>0.25125000000000003</v>
      </c>
      <c r="M56" s="11">
        <f>0.06269+0.05505-0.00458</f>
        <v>0.11316</v>
      </c>
      <c r="N56" s="11">
        <f>0.18623+0.10491-0.00458</f>
        <v>0.28656000000000004</v>
      </c>
      <c r="O56" s="11">
        <f>0.06269+0.06312-0.00458</f>
        <v>0.12122999999999998</v>
      </c>
      <c r="P56" s="11">
        <f>0.03598+0.0314-0.00458</f>
        <v>6.2799999999999995E-2</v>
      </c>
      <c r="Q56" s="237" t="s">
        <v>318</v>
      </c>
      <c r="R56" s="13" t="s">
        <v>22</v>
      </c>
      <c r="S56" s="13" t="s">
        <v>22</v>
      </c>
      <c r="T56" s="13" t="s">
        <v>22</v>
      </c>
      <c r="U56" s="13" t="s">
        <v>22</v>
      </c>
      <c r="V56" s="13" t="s">
        <v>20</v>
      </c>
      <c r="W56" s="13" t="s">
        <v>20</v>
      </c>
      <c r="X56" s="13" t="s">
        <v>20</v>
      </c>
      <c r="Y56" s="13" t="s">
        <v>20</v>
      </c>
      <c r="Z56" s="13" t="s">
        <v>20</v>
      </c>
      <c r="AA56" s="13" t="s">
        <v>22</v>
      </c>
      <c r="AB56" s="13" t="s">
        <v>22</v>
      </c>
      <c r="AC56" s="13" t="s">
        <v>22</v>
      </c>
      <c r="AD56" s="13" t="s">
        <v>22</v>
      </c>
      <c r="AE56" s="13" t="s">
        <v>22</v>
      </c>
      <c r="AF56" s="13" t="s">
        <v>22</v>
      </c>
      <c r="AG56" s="13" t="s">
        <v>22</v>
      </c>
      <c r="AH56" s="13" t="s">
        <v>22</v>
      </c>
      <c r="AI56" s="13" t="s">
        <v>22</v>
      </c>
      <c r="AJ56" s="13" t="s">
        <v>22</v>
      </c>
      <c r="AK56" s="13" t="s">
        <v>22</v>
      </c>
      <c r="AL56" s="13" t="s">
        <v>22</v>
      </c>
      <c r="AM56" s="13" t="s">
        <v>22</v>
      </c>
      <c r="AN56" s="13" t="s">
        <v>22</v>
      </c>
      <c r="AO56" s="161" t="s">
        <v>22</v>
      </c>
      <c r="AP56" s="13" t="s">
        <v>22</v>
      </c>
      <c r="AQ56" s="13" t="s">
        <v>22</v>
      </c>
      <c r="AR56" s="13" t="s">
        <v>22</v>
      </c>
      <c r="AS56" s="13" t="s">
        <v>22</v>
      </c>
      <c r="AT56" s="13" t="s">
        <v>20</v>
      </c>
      <c r="AU56" s="13" t="s">
        <v>20</v>
      </c>
      <c r="AV56" s="13" t="s">
        <v>20</v>
      </c>
      <c r="AW56" s="13" t="s">
        <v>20</v>
      </c>
      <c r="AX56" s="13" t="s">
        <v>20</v>
      </c>
      <c r="AY56" s="13" t="s">
        <v>21</v>
      </c>
      <c r="AZ56" s="13" t="s">
        <v>21</v>
      </c>
      <c r="BA56" s="13" t="s">
        <v>21</v>
      </c>
      <c r="BB56" s="13" t="s">
        <v>21</v>
      </c>
      <c r="BC56" s="13" t="s">
        <v>21</v>
      </c>
      <c r="BD56" s="13" t="s">
        <v>21</v>
      </c>
      <c r="BE56" s="13" t="s">
        <v>21</v>
      </c>
      <c r="BF56" s="13" t="s">
        <v>21</v>
      </c>
      <c r="BG56" s="13" t="s">
        <v>21</v>
      </c>
      <c r="BH56" s="13" t="s">
        <v>21</v>
      </c>
      <c r="BI56" s="13" t="s">
        <v>21</v>
      </c>
      <c r="BJ56" s="13" t="s">
        <v>22</v>
      </c>
      <c r="BK56" s="13" t="s">
        <v>22</v>
      </c>
      <c r="BL56" s="13" t="s">
        <v>22</v>
      </c>
      <c r="BM56" s="13" t="s">
        <v>22</v>
      </c>
      <c r="BN56" s="36">
        <v>0</v>
      </c>
      <c r="BO56" s="36">
        <v>0</v>
      </c>
      <c r="BP56" s="36">
        <v>0</v>
      </c>
      <c r="BQ56" s="36">
        <v>0</v>
      </c>
      <c r="BR56" s="36">
        <v>0</v>
      </c>
      <c r="BS56" s="37">
        <v>1</v>
      </c>
      <c r="BT56" s="37">
        <v>1</v>
      </c>
      <c r="BU56" s="37">
        <v>1</v>
      </c>
      <c r="BV56" s="37">
        <v>1</v>
      </c>
      <c r="BW56" s="36">
        <v>0</v>
      </c>
      <c r="BX56" s="36">
        <v>0</v>
      </c>
      <c r="BY56" s="36">
        <v>0</v>
      </c>
      <c r="BZ56" s="109">
        <f t="shared" si="11"/>
        <v>4</v>
      </c>
      <c r="CA56" s="1" t="s">
        <v>319</v>
      </c>
      <c r="CB56" s="21">
        <v>20</v>
      </c>
      <c r="CC56" s="21">
        <v>500</v>
      </c>
      <c r="CD56" s="20" t="s">
        <v>39</v>
      </c>
      <c r="CE56" s="11"/>
      <c r="CF56" s="11"/>
      <c r="CG56" s="11"/>
      <c r="CH56" s="105"/>
      <c r="CI56" s="11"/>
      <c r="CJ56" s="11"/>
      <c r="CK56" s="11"/>
      <c r="CL56" s="11"/>
      <c r="CM56" s="105"/>
      <c r="CN56" s="11"/>
      <c r="CO56" t="s">
        <v>351</v>
      </c>
    </row>
    <row r="57" spans="1:93" x14ac:dyDescent="0.25">
      <c r="A57" s="235" t="s">
        <v>317</v>
      </c>
      <c r="B57" s="249">
        <v>459.5</v>
      </c>
      <c r="C57" s="11">
        <v>0</v>
      </c>
      <c r="D57" s="11">
        <v>0</v>
      </c>
      <c r="E57" s="11">
        <v>0</v>
      </c>
      <c r="F57" s="11">
        <v>0</v>
      </c>
      <c r="G57" s="11">
        <v>0</v>
      </c>
      <c r="H57" s="11">
        <v>0</v>
      </c>
      <c r="I57" s="11">
        <v>0</v>
      </c>
      <c r="J57" s="11">
        <v>0</v>
      </c>
      <c r="K57" s="11">
        <f>0.15928+0.25403</f>
        <v>0.41330999999999996</v>
      </c>
      <c r="L57" s="11">
        <f>0.15928+0.06163</f>
        <v>0.22091</v>
      </c>
      <c r="M57" s="11">
        <f>0.05323+0.04755</f>
        <v>0.10078000000000001</v>
      </c>
      <c r="N57" s="11">
        <f>0.15928+0.09228</f>
        <v>0.25156000000000001</v>
      </c>
      <c r="O57" s="11">
        <f>0.05323+0.05233</f>
        <v>0.10556</v>
      </c>
      <c r="P57" s="11">
        <f>0.03362+0.02731</f>
        <v>6.0929999999999998E-2</v>
      </c>
      <c r="Q57" s="237" t="s">
        <v>318</v>
      </c>
      <c r="R57" s="13" t="s">
        <v>22</v>
      </c>
      <c r="S57" s="13" t="s">
        <v>22</v>
      </c>
      <c r="T57" s="13" t="s">
        <v>22</v>
      </c>
      <c r="U57" s="13" t="s">
        <v>22</v>
      </c>
      <c r="V57" s="13" t="s">
        <v>20</v>
      </c>
      <c r="W57" s="13" t="s">
        <v>20</v>
      </c>
      <c r="X57" s="13" t="s">
        <v>20</v>
      </c>
      <c r="Y57" s="13" t="s">
        <v>20</v>
      </c>
      <c r="Z57" s="13" t="s">
        <v>20</v>
      </c>
      <c r="AA57" s="13" t="s">
        <v>22</v>
      </c>
      <c r="AB57" s="13" t="s">
        <v>22</v>
      </c>
      <c r="AC57" s="13" t="s">
        <v>22</v>
      </c>
      <c r="AD57" s="13" t="s">
        <v>22</v>
      </c>
      <c r="AE57" s="13" t="s">
        <v>22</v>
      </c>
      <c r="AF57" s="13" t="s">
        <v>22</v>
      </c>
      <c r="AG57" s="13" t="s">
        <v>22</v>
      </c>
      <c r="AH57" s="13" t="s">
        <v>22</v>
      </c>
      <c r="AI57" s="13" t="s">
        <v>22</v>
      </c>
      <c r="AJ57" s="13" t="s">
        <v>22</v>
      </c>
      <c r="AK57" s="13" t="s">
        <v>22</v>
      </c>
      <c r="AL57" s="13" t="s">
        <v>22</v>
      </c>
      <c r="AM57" s="13" t="s">
        <v>22</v>
      </c>
      <c r="AN57" s="13" t="s">
        <v>22</v>
      </c>
      <c r="AO57" s="161" t="s">
        <v>22</v>
      </c>
      <c r="AP57" s="13" t="s">
        <v>22</v>
      </c>
      <c r="AQ57" s="13" t="s">
        <v>22</v>
      </c>
      <c r="AR57" s="13" t="s">
        <v>22</v>
      </c>
      <c r="AS57" s="13" t="s">
        <v>22</v>
      </c>
      <c r="AT57" s="13" t="s">
        <v>20</v>
      </c>
      <c r="AU57" s="13" t="s">
        <v>20</v>
      </c>
      <c r="AV57" s="13" t="s">
        <v>20</v>
      </c>
      <c r="AW57" s="13" t="s">
        <v>20</v>
      </c>
      <c r="AX57" s="13" t="s">
        <v>20</v>
      </c>
      <c r="AY57" s="13" t="s">
        <v>21</v>
      </c>
      <c r="AZ57" s="13" t="s">
        <v>21</v>
      </c>
      <c r="BA57" s="13" t="s">
        <v>21</v>
      </c>
      <c r="BB57" s="13" t="s">
        <v>21</v>
      </c>
      <c r="BC57" s="13" t="s">
        <v>21</v>
      </c>
      <c r="BD57" s="13" t="s">
        <v>21</v>
      </c>
      <c r="BE57" s="13" t="s">
        <v>21</v>
      </c>
      <c r="BF57" s="13" t="s">
        <v>21</v>
      </c>
      <c r="BG57" s="13" t="s">
        <v>21</v>
      </c>
      <c r="BH57" s="13" t="s">
        <v>21</v>
      </c>
      <c r="BI57" s="13" t="s">
        <v>21</v>
      </c>
      <c r="BJ57" s="13" t="s">
        <v>22</v>
      </c>
      <c r="BK57" s="13" t="s">
        <v>22</v>
      </c>
      <c r="BL57" s="13" t="s">
        <v>22</v>
      </c>
      <c r="BM57" s="13" t="s">
        <v>22</v>
      </c>
      <c r="BN57" s="36">
        <v>0</v>
      </c>
      <c r="BO57" s="36">
        <v>0</v>
      </c>
      <c r="BP57" s="36">
        <v>0</v>
      </c>
      <c r="BQ57" s="36">
        <v>0</v>
      </c>
      <c r="BR57" s="36">
        <v>0</v>
      </c>
      <c r="BS57" s="37">
        <v>1</v>
      </c>
      <c r="BT57" s="37">
        <v>1</v>
      </c>
      <c r="BU57" s="37">
        <v>1</v>
      </c>
      <c r="BV57" s="37">
        <v>1</v>
      </c>
      <c r="BW57" s="36">
        <v>0</v>
      </c>
      <c r="BX57" s="36">
        <v>0</v>
      </c>
      <c r="BY57" s="36">
        <v>0</v>
      </c>
      <c r="BZ57" s="109">
        <f t="shared" si="11"/>
        <v>4</v>
      </c>
      <c r="CA57" s="1" t="s">
        <v>320</v>
      </c>
      <c r="CB57" s="21">
        <v>500</v>
      </c>
      <c r="CC57" s="21" t="s">
        <v>15</v>
      </c>
      <c r="CD57" s="20" t="s">
        <v>39</v>
      </c>
      <c r="CE57" s="11"/>
      <c r="CF57" s="11"/>
      <c r="CG57" s="11"/>
      <c r="CH57" s="105"/>
      <c r="CI57" s="11"/>
      <c r="CJ57" s="11"/>
      <c r="CK57" s="11"/>
      <c r="CL57" s="11"/>
      <c r="CM57" s="105"/>
      <c r="CN57" s="11"/>
      <c r="CO57" t="s">
        <v>352</v>
      </c>
    </row>
    <row r="58" spans="1:93" x14ac:dyDescent="0.25">
      <c r="A58" s="235" t="s">
        <v>307</v>
      </c>
      <c r="B58" s="249">
        <v>658.17</v>
      </c>
      <c r="C58" s="11">
        <v>19.02</v>
      </c>
      <c r="D58" s="11">
        <v>0</v>
      </c>
      <c r="E58" s="11">
        <v>0</v>
      </c>
      <c r="F58" s="11">
        <v>0</v>
      </c>
      <c r="G58" s="11">
        <v>19.02</v>
      </c>
      <c r="H58" s="11">
        <v>0</v>
      </c>
      <c r="I58" s="11">
        <v>0</v>
      </c>
      <c r="J58" s="11">
        <v>0</v>
      </c>
      <c r="K58" s="11">
        <f>0.02081+0.31805</f>
        <v>0.33885999999999999</v>
      </c>
      <c r="L58" s="11">
        <f>0.02081+0.08961</f>
        <v>0.11041999999999999</v>
      </c>
      <c r="M58" s="11">
        <f>0.02081+0.03715</f>
        <v>5.7959999999999998E-2</v>
      </c>
      <c r="N58" s="11">
        <v>0</v>
      </c>
      <c r="O58" s="11">
        <f>0.02081+0.05369</f>
        <v>7.4499999999999997E-2</v>
      </c>
      <c r="P58" s="11">
        <f>0.02081+0.04274</f>
        <v>6.3549999999999995E-2</v>
      </c>
      <c r="Q58" s="30">
        <v>43252</v>
      </c>
      <c r="R58" s="13" t="s">
        <v>20</v>
      </c>
      <c r="S58" s="13" t="s">
        <v>20</v>
      </c>
      <c r="T58" s="13" t="s">
        <v>20</v>
      </c>
      <c r="U58" s="13" t="s">
        <v>20</v>
      </c>
      <c r="V58" s="13" t="s">
        <v>20</v>
      </c>
      <c r="W58" s="13" t="s">
        <v>20</v>
      </c>
      <c r="X58" s="13" t="s">
        <v>21</v>
      </c>
      <c r="Y58" s="13" t="s">
        <v>21</v>
      </c>
      <c r="Z58" s="13" t="s">
        <v>21</v>
      </c>
      <c r="AA58" s="13" t="s">
        <v>21</v>
      </c>
      <c r="AB58" s="13" t="s">
        <v>21</v>
      </c>
      <c r="AC58" s="13" t="s">
        <v>22</v>
      </c>
      <c r="AD58" s="13" t="s">
        <v>22</v>
      </c>
      <c r="AE58" s="13" t="s">
        <v>22</v>
      </c>
      <c r="AF58" s="13" t="s">
        <v>22</v>
      </c>
      <c r="AG58" s="13" t="s">
        <v>22</v>
      </c>
      <c r="AH58" s="13" t="s">
        <v>22</v>
      </c>
      <c r="AI58" s="13" t="s">
        <v>22</v>
      </c>
      <c r="AJ58" s="13" t="s">
        <v>22</v>
      </c>
      <c r="AK58" s="13" t="s">
        <v>22</v>
      </c>
      <c r="AL58" s="13" t="s">
        <v>21</v>
      </c>
      <c r="AM58" s="13" t="s">
        <v>21</v>
      </c>
      <c r="AN58" s="13" t="s">
        <v>21</v>
      </c>
      <c r="AO58" s="13" t="s">
        <v>21</v>
      </c>
      <c r="AP58" s="107" t="s">
        <v>21</v>
      </c>
      <c r="AQ58" s="13" t="s">
        <v>21</v>
      </c>
      <c r="AR58" s="13" t="s">
        <v>21</v>
      </c>
      <c r="AS58" s="13" t="s">
        <v>21</v>
      </c>
      <c r="AT58" s="13" t="s">
        <v>21</v>
      </c>
      <c r="AU58" s="13" t="s">
        <v>21</v>
      </c>
      <c r="AV58" s="13" t="s">
        <v>21</v>
      </c>
      <c r="AW58" s="13" t="s">
        <v>21</v>
      </c>
      <c r="AX58" s="13" t="s">
        <v>21</v>
      </c>
      <c r="AY58" s="13" t="s">
        <v>22</v>
      </c>
      <c r="AZ58" s="13" t="s">
        <v>22</v>
      </c>
      <c r="BA58" s="13" t="s">
        <v>22</v>
      </c>
      <c r="BB58" s="13" t="s">
        <v>22</v>
      </c>
      <c r="BC58" s="13" t="s">
        <v>22</v>
      </c>
      <c r="BD58" s="13" t="s">
        <v>22</v>
      </c>
      <c r="BE58" s="13" t="s">
        <v>22</v>
      </c>
      <c r="BF58" s="13" t="s">
        <v>22</v>
      </c>
      <c r="BG58" s="13" t="s">
        <v>22</v>
      </c>
      <c r="BH58" s="13" t="s">
        <v>22</v>
      </c>
      <c r="BI58" s="13" t="s">
        <v>22</v>
      </c>
      <c r="BJ58" s="13" t="s">
        <v>21</v>
      </c>
      <c r="BK58" s="13" t="s">
        <v>21</v>
      </c>
      <c r="BL58" s="13" t="s">
        <v>21</v>
      </c>
      <c r="BM58" s="13" t="s">
        <v>21</v>
      </c>
      <c r="BN58" s="36">
        <v>0</v>
      </c>
      <c r="BO58" s="36">
        <v>0</v>
      </c>
      <c r="BP58" s="36">
        <v>0</v>
      </c>
      <c r="BQ58" s="36">
        <v>0</v>
      </c>
      <c r="BR58" s="36">
        <v>0</v>
      </c>
      <c r="BS58" s="37">
        <v>1</v>
      </c>
      <c r="BT58" s="37">
        <v>1</v>
      </c>
      <c r="BU58" s="37">
        <v>1</v>
      </c>
      <c r="BV58" s="37">
        <v>1</v>
      </c>
      <c r="BW58" s="36">
        <v>0</v>
      </c>
      <c r="BX58" s="36">
        <v>0</v>
      </c>
      <c r="BY58" s="36">
        <v>0</v>
      </c>
      <c r="BZ58" s="109">
        <f t="shared" si="11"/>
        <v>4</v>
      </c>
      <c r="CA58" s="1" t="s">
        <v>218</v>
      </c>
      <c r="CB58" s="21">
        <v>500</v>
      </c>
      <c r="CC58" s="21" t="s">
        <v>15</v>
      </c>
      <c r="CD58" s="20" t="s">
        <v>39</v>
      </c>
      <c r="CE58" s="11"/>
      <c r="CF58" s="11"/>
      <c r="CG58" s="11"/>
      <c r="CH58" s="105"/>
      <c r="CI58" s="11"/>
      <c r="CJ58" s="11"/>
      <c r="CK58" s="11"/>
      <c r="CL58" s="11"/>
      <c r="CM58" s="105"/>
      <c r="CN58" s="11"/>
    </row>
    <row r="59" spans="1:93" x14ac:dyDescent="0.25">
      <c r="A59" s="235" t="s">
        <v>99</v>
      </c>
      <c r="B59" s="249">
        <v>658.17</v>
      </c>
      <c r="C59" s="11">
        <v>19.02</v>
      </c>
      <c r="D59" s="11">
        <v>21.73</v>
      </c>
      <c r="E59" s="11">
        <v>4.17</v>
      </c>
      <c r="F59" s="11">
        <v>0</v>
      </c>
      <c r="G59" s="11">
        <v>19.02</v>
      </c>
      <c r="H59" s="11">
        <v>0</v>
      </c>
      <c r="I59" s="11">
        <v>0</v>
      </c>
      <c r="J59" s="11">
        <v>0</v>
      </c>
      <c r="K59" s="11">
        <f>0.08246+0.02081</f>
        <v>0.10327</v>
      </c>
      <c r="L59" s="11">
        <f>0.05554+0.02081</f>
        <v>7.6350000000000001E-2</v>
      </c>
      <c r="M59" s="11">
        <f>0.03715+0.02081</f>
        <v>5.7959999999999998E-2</v>
      </c>
      <c r="N59" s="11">
        <v>0</v>
      </c>
      <c r="O59" s="11">
        <f>0.05369+0.02081</f>
        <v>7.4499999999999997E-2</v>
      </c>
      <c r="P59" s="11">
        <f>0.04274+0.02081</f>
        <v>6.3549999999999995E-2</v>
      </c>
      <c r="Q59" s="30">
        <v>43252</v>
      </c>
      <c r="R59" s="13" t="s">
        <v>20</v>
      </c>
      <c r="S59" s="13" t="s">
        <v>20</v>
      </c>
      <c r="T59" s="13" t="s">
        <v>20</v>
      </c>
      <c r="U59" s="13" t="s">
        <v>20</v>
      </c>
      <c r="V59" s="13" t="s">
        <v>20</v>
      </c>
      <c r="W59" s="13" t="s">
        <v>20</v>
      </c>
      <c r="X59" s="13" t="s">
        <v>21</v>
      </c>
      <c r="Y59" s="13" t="s">
        <v>21</v>
      </c>
      <c r="Z59" s="13" t="s">
        <v>21</v>
      </c>
      <c r="AA59" s="13" t="s">
        <v>21</v>
      </c>
      <c r="AB59" s="13" t="s">
        <v>21</v>
      </c>
      <c r="AC59" s="13" t="s">
        <v>22</v>
      </c>
      <c r="AD59" s="13" t="s">
        <v>22</v>
      </c>
      <c r="AE59" s="13" t="s">
        <v>22</v>
      </c>
      <c r="AF59" s="13" t="s">
        <v>22</v>
      </c>
      <c r="AG59" s="13" t="s">
        <v>22</v>
      </c>
      <c r="AH59" s="13" t="s">
        <v>22</v>
      </c>
      <c r="AI59" s="13" t="s">
        <v>22</v>
      </c>
      <c r="AJ59" s="13" t="s">
        <v>22</v>
      </c>
      <c r="AK59" s="13" t="s">
        <v>22</v>
      </c>
      <c r="AL59" s="13" t="s">
        <v>21</v>
      </c>
      <c r="AM59" s="13" t="s">
        <v>21</v>
      </c>
      <c r="AN59" s="13" t="s">
        <v>21</v>
      </c>
      <c r="AO59" s="13" t="s">
        <v>21</v>
      </c>
      <c r="AP59" s="107" t="s">
        <v>21</v>
      </c>
      <c r="AQ59" s="13" t="s">
        <v>21</v>
      </c>
      <c r="AR59" s="13" t="s">
        <v>21</v>
      </c>
      <c r="AS59" s="13" t="s">
        <v>21</v>
      </c>
      <c r="AT59" s="13" t="s">
        <v>21</v>
      </c>
      <c r="AU59" s="13" t="s">
        <v>21</v>
      </c>
      <c r="AV59" s="13" t="s">
        <v>21</v>
      </c>
      <c r="AW59" s="13" t="s">
        <v>21</v>
      </c>
      <c r="AX59" s="13" t="s">
        <v>21</v>
      </c>
      <c r="AY59" s="13" t="s">
        <v>22</v>
      </c>
      <c r="AZ59" s="13" t="s">
        <v>22</v>
      </c>
      <c r="BA59" s="13" t="s">
        <v>22</v>
      </c>
      <c r="BB59" s="13" t="s">
        <v>22</v>
      </c>
      <c r="BC59" s="13" t="s">
        <v>22</v>
      </c>
      <c r="BD59" s="13" t="s">
        <v>22</v>
      </c>
      <c r="BE59" s="13" t="s">
        <v>22</v>
      </c>
      <c r="BF59" s="13" t="s">
        <v>22</v>
      </c>
      <c r="BG59" s="13" t="s">
        <v>22</v>
      </c>
      <c r="BH59" s="13" t="s">
        <v>22</v>
      </c>
      <c r="BI59" s="13" t="s">
        <v>22</v>
      </c>
      <c r="BJ59" s="13" t="s">
        <v>21</v>
      </c>
      <c r="BK59" s="13" t="s">
        <v>21</v>
      </c>
      <c r="BL59" s="13" t="s">
        <v>21</v>
      </c>
      <c r="BM59" s="13" t="s">
        <v>21</v>
      </c>
      <c r="BN59" s="36">
        <v>0</v>
      </c>
      <c r="BO59" s="36">
        <v>0</v>
      </c>
      <c r="BP59" s="36">
        <v>0</v>
      </c>
      <c r="BQ59" s="36">
        <v>0</v>
      </c>
      <c r="BR59" s="36">
        <v>0</v>
      </c>
      <c r="BS59" s="37">
        <v>1</v>
      </c>
      <c r="BT59" s="37">
        <v>1</v>
      </c>
      <c r="BU59" s="37">
        <v>1</v>
      </c>
      <c r="BV59" s="37">
        <v>1</v>
      </c>
      <c r="BW59" s="36">
        <v>0</v>
      </c>
      <c r="BX59" s="36">
        <v>0</v>
      </c>
      <c r="BY59" s="36">
        <v>0</v>
      </c>
      <c r="BZ59" s="109">
        <f t="shared" si="11"/>
        <v>4</v>
      </c>
      <c r="CA59" s="1" t="s">
        <v>219</v>
      </c>
      <c r="CB59" s="21">
        <v>500</v>
      </c>
      <c r="CC59" s="21" t="s">
        <v>15</v>
      </c>
      <c r="CD59" s="20" t="s">
        <v>39</v>
      </c>
      <c r="CE59" s="11"/>
      <c r="CF59" s="11"/>
      <c r="CG59" s="11"/>
      <c r="CH59" s="105"/>
      <c r="CI59" s="11"/>
      <c r="CJ59" s="11"/>
      <c r="CK59" s="11"/>
      <c r="CL59" s="11"/>
      <c r="CM59" s="105"/>
      <c r="CN59" s="11"/>
    </row>
    <row r="60" spans="1:93" x14ac:dyDescent="0.25">
      <c r="A60" s="235" t="s">
        <v>324</v>
      </c>
      <c r="B60" s="249">
        <v>163.02000000000001</v>
      </c>
      <c r="C60" s="11">
        <v>21</v>
      </c>
      <c r="D60" s="11">
        <v>16.48</v>
      </c>
      <c r="E60" s="11">
        <v>0</v>
      </c>
      <c r="F60" s="11">
        <v>0</v>
      </c>
      <c r="G60" s="11">
        <v>21</v>
      </c>
      <c r="H60" s="11">
        <v>16.440000000000001</v>
      </c>
      <c r="I60" s="11">
        <v>0</v>
      </c>
      <c r="J60" s="11">
        <v>0</v>
      </c>
      <c r="K60" s="11">
        <f>0.00497+0.13234</f>
        <v>0.13731000000000002</v>
      </c>
      <c r="L60" s="11">
        <f>0.00497+0.11068</f>
        <v>0.11565</v>
      </c>
      <c r="M60" s="11">
        <f>0.00497+0.08366</f>
        <v>8.863E-2</v>
      </c>
      <c r="N60" s="11">
        <f>0.00497+0.11124</f>
        <v>0.11621000000000001</v>
      </c>
      <c r="O60" s="11">
        <f>0.00497+0.09872</f>
        <v>0.10369</v>
      </c>
      <c r="P60" s="11">
        <f>0.00497+0.08485</f>
        <v>8.9819999999999997E-2</v>
      </c>
      <c r="Q60" s="30">
        <v>43282</v>
      </c>
      <c r="R60" s="13" t="s">
        <v>21</v>
      </c>
      <c r="S60" s="13" t="s">
        <v>21</v>
      </c>
      <c r="T60" s="13" t="s">
        <v>21</v>
      </c>
      <c r="U60" s="13" t="s">
        <v>21</v>
      </c>
      <c r="V60" s="13" t="s">
        <v>20</v>
      </c>
      <c r="W60" s="13" t="s">
        <v>20</v>
      </c>
      <c r="X60" s="13" t="s">
        <v>20</v>
      </c>
      <c r="Y60" s="13" t="s">
        <v>20</v>
      </c>
      <c r="Z60" s="13" t="s">
        <v>20</v>
      </c>
      <c r="AA60" s="13" t="s">
        <v>21</v>
      </c>
      <c r="AB60" s="13" t="s">
        <v>21</v>
      </c>
      <c r="AC60" s="13" t="s">
        <v>21</v>
      </c>
      <c r="AD60" s="13" t="s">
        <v>22</v>
      </c>
      <c r="AE60" s="13" t="s">
        <v>22</v>
      </c>
      <c r="AF60" s="13" t="s">
        <v>22</v>
      </c>
      <c r="AG60" s="13" t="s">
        <v>22</v>
      </c>
      <c r="AH60" s="13" t="s">
        <v>22</v>
      </c>
      <c r="AI60" s="13" t="s">
        <v>22</v>
      </c>
      <c r="AJ60" s="13" t="s">
        <v>21</v>
      </c>
      <c r="AK60" s="13" t="s">
        <v>21</v>
      </c>
      <c r="AL60" s="13" t="s">
        <v>21</v>
      </c>
      <c r="AM60" s="13" t="s">
        <v>21</v>
      </c>
      <c r="AN60" s="13" t="s">
        <v>21</v>
      </c>
      <c r="AO60" s="161" t="s">
        <v>21</v>
      </c>
      <c r="AP60" s="162" t="s">
        <v>21</v>
      </c>
      <c r="AQ60" s="13" t="s">
        <v>21</v>
      </c>
      <c r="AR60" s="13" t="s">
        <v>21</v>
      </c>
      <c r="AS60" s="13" t="s">
        <v>21</v>
      </c>
      <c r="AT60" s="13" t="s">
        <v>20</v>
      </c>
      <c r="AU60" s="13" t="s">
        <v>20</v>
      </c>
      <c r="AV60" s="13" t="s">
        <v>20</v>
      </c>
      <c r="AW60" s="13" t="s">
        <v>20</v>
      </c>
      <c r="AX60" s="13" t="s">
        <v>20</v>
      </c>
      <c r="AY60" s="13" t="s">
        <v>21</v>
      </c>
      <c r="AZ60" s="13" t="s">
        <v>21</v>
      </c>
      <c r="BA60" s="13" t="s">
        <v>21</v>
      </c>
      <c r="BB60" s="13" t="s">
        <v>22</v>
      </c>
      <c r="BC60" s="13" t="s">
        <v>22</v>
      </c>
      <c r="BD60" s="13" t="s">
        <v>22</v>
      </c>
      <c r="BE60" s="13" t="s">
        <v>22</v>
      </c>
      <c r="BF60" s="13" t="s">
        <v>22</v>
      </c>
      <c r="BG60" s="13" t="s">
        <v>22</v>
      </c>
      <c r="BH60" s="13" t="s">
        <v>21</v>
      </c>
      <c r="BI60" s="13" t="s">
        <v>21</v>
      </c>
      <c r="BJ60" s="13" t="s">
        <v>21</v>
      </c>
      <c r="BK60" s="13" t="s">
        <v>21</v>
      </c>
      <c r="BL60" s="13" t="s">
        <v>21</v>
      </c>
      <c r="BM60" s="13" t="s">
        <v>21</v>
      </c>
      <c r="BN60" s="13">
        <v>0</v>
      </c>
      <c r="BO60" s="13">
        <v>0</v>
      </c>
      <c r="BP60" s="13">
        <v>0</v>
      </c>
      <c r="BQ60" s="13">
        <v>0</v>
      </c>
      <c r="BR60" s="13">
        <v>1</v>
      </c>
      <c r="BS60" s="13">
        <v>1</v>
      </c>
      <c r="BT60" s="13">
        <v>1</v>
      </c>
      <c r="BU60" s="13">
        <v>1</v>
      </c>
      <c r="BV60" s="13">
        <v>1</v>
      </c>
      <c r="BW60" s="13">
        <v>1</v>
      </c>
      <c r="BX60" s="13">
        <v>0</v>
      </c>
      <c r="BY60" s="13">
        <v>0</v>
      </c>
      <c r="BZ60" s="109">
        <f t="shared" si="11"/>
        <v>6</v>
      </c>
      <c r="CA60" s="1" t="s">
        <v>331</v>
      </c>
      <c r="CB60" s="21">
        <v>20</v>
      </c>
      <c r="CC60" s="21">
        <v>500</v>
      </c>
      <c r="CD60" s="20" t="s">
        <v>39</v>
      </c>
      <c r="CE60" s="11"/>
      <c r="CF60" s="11"/>
      <c r="CG60" s="11"/>
      <c r="CH60" s="105"/>
      <c r="CI60" s="11"/>
      <c r="CJ60" s="11"/>
      <c r="CK60" s="11"/>
      <c r="CL60" s="11"/>
      <c r="CM60" s="105"/>
      <c r="CN60" s="11"/>
      <c r="CO60" s="238" t="s">
        <v>361</v>
      </c>
    </row>
    <row r="61" spans="1:93" x14ac:dyDescent="0.25">
      <c r="A61" s="235" t="s">
        <v>325</v>
      </c>
      <c r="B61" s="249">
        <v>652.04</v>
      </c>
      <c r="C61" s="11">
        <v>21</v>
      </c>
      <c r="D61" s="11">
        <v>16.48</v>
      </c>
      <c r="E61" s="11">
        <v>0</v>
      </c>
      <c r="F61" s="11">
        <v>0</v>
      </c>
      <c r="G61" s="11">
        <v>21</v>
      </c>
      <c r="H61" s="11">
        <v>16.440000000000001</v>
      </c>
      <c r="I61" s="11">
        <v>0</v>
      </c>
      <c r="J61" s="11">
        <v>0</v>
      </c>
      <c r="K61" s="11">
        <f>0.00497+0.13234</f>
        <v>0.13731000000000002</v>
      </c>
      <c r="L61" s="11">
        <f>0.00497+0.11068</f>
        <v>0.11565</v>
      </c>
      <c r="M61" s="11">
        <f>0.00497+0.08366</f>
        <v>8.863E-2</v>
      </c>
      <c r="N61" s="11">
        <f>0.00497+0.11124</f>
        <v>0.11621000000000001</v>
      </c>
      <c r="O61" s="11">
        <f>0.00497+0.09872</f>
        <v>0.10369</v>
      </c>
      <c r="P61" s="11">
        <f>0.00497+0.08485</f>
        <v>8.9819999999999997E-2</v>
      </c>
      <c r="Q61" s="30">
        <v>43282</v>
      </c>
      <c r="R61" s="13" t="s">
        <v>21</v>
      </c>
      <c r="S61" s="13" t="s">
        <v>21</v>
      </c>
      <c r="T61" s="13" t="s">
        <v>21</v>
      </c>
      <c r="U61" s="13" t="s">
        <v>21</v>
      </c>
      <c r="V61" s="13" t="s">
        <v>20</v>
      </c>
      <c r="W61" s="13" t="s">
        <v>20</v>
      </c>
      <c r="X61" s="13" t="s">
        <v>20</v>
      </c>
      <c r="Y61" s="13" t="s">
        <v>20</v>
      </c>
      <c r="Z61" s="13" t="s">
        <v>20</v>
      </c>
      <c r="AA61" s="13" t="s">
        <v>21</v>
      </c>
      <c r="AB61" s="13" t="s">
        <v>21</v>
      </c>
      <c r="AC61" s="13" t="s">
        <v>21</v>
      </c>
      <c r="AD61" s="13" t="s">
        <v>22</v>
      </c>
      <c r="AE61" s="13" t="s">
        <v>22</v>
      </c>
      <c r="AF61" s="13" t="s">
        <v>22</v>
      </c>
      <c r="AG61" s="13" t="s">
        <v>22</v>
      </c>
      <c r="AH61" s="13" t="s">
        <v>22</v>
      </c>
      <c r="AI61" s="13" t="s">
        <v>22</v>
      </c>
      <c r="AJ61" s="13" t="s">
        <v>21</v>
      </c>
      <c r="AK61" s="13" t="s">
        <v>21</v>
      </c>
      <c r="AL61" s="13" t="s">
        <v>21</v>
      </c>
      <c r="AM61" s="13" t="s">
        <v>21</v>
      </c>
      <c r="AN61" s="13" t="s">
        <v>21</v>
      </c>
      <c r="AO61" s="161" t="s">
        <v>21</v>
      </c>
      <c r="AP61" s="162" t="s">
        <v>21</v>
      </c>
      <c r="AQ61" s="13" t="s">
        <v>21</v>
      </c>
      <c r="AR61" s="13" t="s">
        <v>21</v>
      </c>
      <c r="AS61" s="13" t="s">
        <v>21</v>
      </c>
      <c r="AT61" s="13" t="s">
        <v>20</v>
      </c>
      <c r="AU61" s="13" t="s">
        <v>20</v>
      </c>
      <c r="AV61" s="13" t="s">
        <v>20</v>
      </c>
      <c r="AW61" s="13" t="s">
        <v>20</v>
      </c>
      <c r="AX61" s="13" t="s">
        <v>20</v>
      </c>
      <c r="AY61" s="13" t="s">
        <v>21</v>
      </c>
      <c r="AZ61" s="13" t="s">
        <v>21</v>
      </c>
      <c r="BA61" s="13" t="s">
        <v>21</v>
      </c>
      <c r="BB61" s="13" t="s">
        <v>22</v>
      </c>
      <c r="BC61" s="13" t="s">
        <v>22</v>
      </c>
      <c r="BD61" s="13" t="s">
        <v>22</v>
      </c>
      <c r="BE61" s="13" t="s">
        <v>22</v>
      </c>
      <c r="BF61" s="13" t="s">
        <v>22</v>
      </c>
      <c r="BG61" s="13" t="s">
        <v>22</v>
      </c>
      <c r="BH61" s="13" t="s">
        <v>21</v>
      </c>
      <c r="BI61" s="13" t="s">
        <v>21</v>
      </c>
      <c r="BJ61" s="13" t="s">
        <v>21</v>
      </c>
      <c r="BK61" s="13" t="s">
        <v>21</v>
      </c>
      <c r="BL61" s="13" t="s">
        <v>21</v>
      </c>
      <c r="BM61" s="13" t="s">
        <v>21</v>
      </c>
      <c r="BN61" s="13">
        <v>0</v>
      </c>
      <c r="BO61" s="13">
        <v>0</v>
      </c>
      <c r="BP61" s="13">
        <v>0</v>
      </c>
      <c r="BQ61" s="13">
        <v>0</v>
      </c>
      <c r="BR61" s="13">
        <v>1</v>
      </c>
      <c r="BS61" s="13">
        <v>1</v>
      </c>
      <c r="BT61" s="13">
        <v>1</v>
      </c>
      <c r="BU61" s="13">
        <v>1</v>
      </c>
      <c r="BV61" s="13">
        <v>1</v>
      </c>
      <c r="BW61" s="13">
        <v>1</v>
      </c>
      <c r="BX61" s="13">
        <v>0</v>
      </c>
      <c r="BY61" s="13">
        <v>0</v>
      </c>
      <c r="BZ61" s="109">
        <f t="shared" si="11"/>
        <v>6</v>
      </c>
      <c r="CA61" s="1" t="s">
        <v>332</v>
      </c>
      <c r="CB61" s="21">
        <v>500</v>
      </c>
      <c r="CC61" s="21" t="s">
        <v>15</v>
      </c>
      <c r="CD61" s="20" t="s">
        <v>39</v>
      </c>
      <c r="CE61" s="11"/>
      <c r="CF61" s="11"/>
      <c r="CG61" s="11"/>
      <c r="CH61" s="105"/>
      <c r="CI61" s="11"/>
      <c r="CJ61" s="11"/>
      <c r="CK61" s="11"/>
      <c r="CL61" s="11"/>
      <c r="CM61" s="105"/>
      <c r="CN61" s="11"/>
      <c r="CO61" s="238" t="s">
        <v>361</v>
      </c>
    </row>
    <row r="62" spans="1:93" x14ac:dyDescent="0.25">
      <c r="A62" s="235" t="s">
        <v>329</v>
      </c>
      <c r="B62" s="249">
        <v>163.02000000000001</v>
      </c>
      <c r="C62" s="11">
        <v>21</v>
      </c>
      <c r="D62" s="11">
        <f>16.48+10.99</f>
        <v>27.47</v>
      </c>
      <c r="E62" s="11">
        <v>0</v>
      </c>
      <c r="F62" s="11">
        <v>0</v>
      </c>
      <c r="G62" s="11">
        <v>21</v>
      </c>
      <c r="H62" s="11">
        <v>16.440000000000001</v>
      </c>
      <c r="I62" s="11">
        <v>0</v>
      </c>
      <c r="J62" s="11">
        <v>0</v>
      </c>
      <c r="K62" s="11">
        <f>0.00497+0.13421</f>
        <v>0.13918</v>
      </c>
      <c r="L62" s="11">
        <f>0.00497+0.11239</f>
        <v>0.11736000000000001</v>
      </c>
      <c r="M62" s="11">
        <f>0.00497+0.08366</f>
        <v>8.863E-2</v>
      </c>
      <c r="N62" s="11">
        <f>0.00497+0.11124</f>
        <v>0.11621000000000001</v>
      </c>
      <c r="O62" s="11">
        <f>0.00497+0.09872</f>
        <v>0.10369</v>
      </c>
      <c r="P62" s="11">
        <f>0.00497+0.08485</f>
        <v>8.9819999999999997E-2</v>
      </c>
      <c r="Q62" s="30">
        <v>43282</v>
      </c>
      <c r="R62" s="13" t="s">
        <v>21</v>
      </c>
      <c r="S62" s="13" t="s">
        <v>21</v>
      </c>
      <c r="T62" s="13" t="s">
        <v>21</v>
      </c>
      <c r="U62" s="13" t="s">
        <v>21</v>
      </c>
      <c r="V62" s="13" t="s">
        <v>20</v>
      </c>
      <c r="W62" s="13" t="s">
        <v>20</v>
      </c>
      <c r="X62" s="13" t="s">
        <v>20</v>
      </c>
      <c r="Y62" s="13" t="s">
        <v>20</v>
      </c>
      <c r="Z62" s="13" t="s">
        <v>20</v>
      </c>
      <c r="AA62" s="13" t="s">
        <v>21</v>
      </c>
      <c r="AB62" s="13" t="s">
        <v>21</v>
      </c>
      <c r="AC62" s="13" t="s">
        <v>21</v>
      </c>
      <c r="AD62" s="13" t="s">
        <v>22</v>
      </c>
      <c r="AE62" s="13" t="s">
        <v>22</v>
      </c>
      <c r="AF62" s="13" t="s">
        <v>22</v>
      </c>
      <c r="AG62" s="13" t="s">
        <v>22</v>
      </c>
      <c r="AH62" s="13" t="s">
        <v>22</v>
      </c>
      <c r="AI62" s="13" t="s">
        <v>22</v>
      </c>
      <c r="AJ62" s="13" t="s">
        <v>21</v>
      </c>
      <c r="AK62" s="13" t="s">
        <v>21</v>
      </c>
      <c r="AL62" s="13" t="s">
        <v>21</v>
      </c>
      <c r="AM62" s="13" t="s">
        <v>21</v>
      </c>
      <c r="AN62" s="13" t="s">
        <v>21</v>
      </c>
      <c r="AO62" s="161" t="s">
        <v>21</v>
      </c>
      <c r="AP62" s="162" t="s">
        <v>21</v>
      </c>
      <c r="AQ62" s="13" t="s">
        <v>21</v>
      </c>
      <c r="AR62" s="13" t="s">
        <v>21</v>
      </c>
      <c r="AS62" s="13" t="s">
        <v>21</v>
      </c>
      <c r="AT62" s="13" t="s">
        <v>20</v>
      </c>
      <c r="AU62" s="13" t="s">
        <v>20</v>
      </c>
      <c r="AV62" s="13" t="s">
        <v>20</v>
      </c>
      <c r="AW62" s="13" t="s">
        <v>20</v>
      </c>
      <c r="AX62" s="13" t="s">
        <v>20</v>
      </c>
      <c r="AY62" s="13" t="s">
        <v>21</v>
      </c>
      <c r="AZ62" s="13" t="s">
        <v>21</v>
      </c>
      <c r="BA62" s="13" t="s">
        <v>21</v>
      </c>
      <c r="BB62" s="13" t="s">
        <v>22</v>
      </c>
      <c r="BC62" s="13" t="s">
        <v>22</v>
      </c>
      <c r="BD62" s="13" t="s">
        <v>22</v>
      </c>
      <c r="BE62" s="13" t="s">
        <v>22</v>
      </c>
      <c r="BF62" s="13" t="s">
        <v>22</v>
      </c>
      <c r="BG62" s="13" t="s">
        <v>22</v>
      </c>
      <c r="BH62" s="13" t="s">
        <v>21</v>
      </c>
      <c r="BI62" s="13" t="s">
        <v>21</v>
      </c>
      <c r="BJ62" s="13" t="s">
        <v>21</v>
      </c>
      <c r="BK62" s="13" t="s">
        <v>21</v>
      </c>
      <c r="BL62" s="13" t="s">
        <v>21</v>
      </c>
      <c r="BM62" s="13" t="s">
        <v>21</v>
      </c>
      <c r="BN62" s="13">
        <v>0</v>
      </c>
      <c r="BO62" s="13">
        <v>0</v>
      </c>
      <c r="BP62" s="13">
        <v>0</v>
      </c>
      <c r="BQ62" s="13">
        <v>0</v>
      </c>
      <c r="BR62" s="13">
        <v>0</v>
      </c>
      <c r="BS62" s="13">
        <v>1</v>
      </c>
      <c r="BT62" s="13">
        <v>1</v>
      </c>
      <c r="BU62" s="13">
        <v>1</v>
      </c>
      <c r="BV62" s="13">
        <v>1</v>
      </c>
      <c r="BW62" s="13">
        <v>1</v>
      </c>
      <c r="BX62" s="13">
        <v>0</v>
      </c>
      <c r="BY62" s="13">
        <v>0</v>
      </c>
      <c r="BZ62" s="109">
        <f t="shared" si="11"/>
        <v>5</v>
      </c>
      <c r="CA62" s="1" t="s">
        <v>333</v>
      </c>
      <c r="CB62" s="21">
        <v>20</v>
      </c>
      <c r="CC62" s="21">
        <v>500</v>
      </c>
      <c r="CD62" s="20" t="s">
        <v>39</v>
      </c>
      <c r="CE62" s="11"/>
      <c r="CF62" s="11"/>
      <c r="CG62" s="11"/>
      <c r="CH62" s="105"/>
      <c r="CI62" s="11"/>
      <c r="CJ62" s="11"/>
      <c r="CK62" s="11"/>
      <c r="CL62" s="11"/>
      <c r="CM62" s="105"/>
      <c r="CN62" s="11"/>
      <c r="CO62" s="238" t="s">
        <v>358</v>
      </c>
    </row>
    <row r="63" spans="1:93" x14ac:dyDescent="0.25">
      <c r="A63" s="235" t="s">
        <v>330</v>
      </c>
      <c r="B63" s="249">
        <v>652.04</v>
      </c>
      <c r="C63" s="11">
        <v>21</v>
      </c>
      <c r="D63" s="11">
        <f>16.48+10.99</f>
        <v>27.47</v>
      </c>
      <c r="E63" s="11">
        <v>0</v>
      </c>
      <c r="F63" s="11">
        <v>0</v>
      </c>
      <c r="G63" s="11">
        <v>21</v>
      </c>
      <c r="H63" s="11">
        <v>16.440000000000001</v>
      </c>
      <c r="I63" s="11">
        <v>0</v>
      </c>
      <c r="J63" s="11">
        <v>0</v>
      </c>
      <c r="K63" s="11">
        <f>0.00497+0.13421</f>
        <v>0.13918</v>
      </c>
      <c r="L63" s="11">
        <f>0.00497+0.11239</f>
        <v>0.11736000000000001</v>
      </c>
      <c r="M63" s="11">
        <f>0.00497+0.08366</f>
        <v>8.863E-2</v>
      </c>
      <c r="N63" s="11">
        <f>0.00497+0.11124</f>
        <v>0.11621000000000001</v>
      </c>
      <c r="O63" s="11">
        <f>0.00497+0.09872</f>
        <v>0.10369</v>
      </c>
      <c r="P63" s="11">
        <f>0.00497+0.08485</f>
        <v>8.9819999999999997E-2</v>
      </c>
      <c r="Q63" s="30">
        <v>43282</v>
      </c>
      <c r="R63" s="13" t="s">
        <v>21</v>
      </c>
      <c r="S63" s="13" t="s">
        <v>21</v>
      </c>
      <c r="T63" s="13" t="s">
        <v>21</v>
      </c>
      <c r="U63" s="13" t="s">
        <v>21</v>
      </c>
      <c r="V63" s="13" t="s">
        <v>20</v>
      </c>
      <c r="W63" s="13" t="s">
        <v>20</v>
      </c>
      <c r="X63" s="13" t="s">
        <v>20</v>
      </c>
      <c r="Y63" s="13" t="s">
        <v>20</v>
      </c>
      <c r="Z63" s="13" t="s">
        <v>20</v>
      </c>
      <c r="AA63" s="13" t="s">
        <v>21</v>
      </c>
      <c r="AB63" s="13" t="s">
        <v>21</v>
      </c>
      <c r="AC63" s="13" t="s">
        <v>21</v>
      </c>
      <c r="AD63" s="13" t="s">
        <v>22</v>
      </c>
      <c r="AE63" s="13" t="s">
        <v>22</v>
      </c>
      <c r="AF63" s="13" t="s">
        <v>22</v>
      </c>
      <c r="AG63" s="13" t="s">
        <v>22</v>
      </c>
      <c r="AH63" s="13" t="s">
        <v>22</v>
      </c>
      <c r="AI63" s="13" t="s">
        <v>22</v>
      </c>
      <c r="AJ63" s="13" t="s">
        <v>21</v>
      </c>
      <c r="AK63" s="13" t="s">
        <v>21</v>
      </c>
      <c r="AL63" s="13" t="s">
        <v>21</v>
      </c>
      <c r="AM63" s="13" t="s">
        <v>21</v>
      </c>
      <c r="AN63" s="13" t="s">
        <v>21</v>
      </c>
      <c r="AO63" s="161" t="s">
        <v>21</v>
      </c>
      <c r="AP63" s="162" t="s">
        <v>21</v>
      </c>
      <c r="AQ63" s="13" t="s">
        <v>21</v>
      </c>
      <c r="AR63" s="13" t="s">
        <v>21</v>
      </c>
      <c r="AS63" s="13" t="s">
        <v>21</v>
      </c>
      <c r="AT63" s="13" t="s">
        <v>20</v>
      </c>
      <c r="AU63" s="13" t="s">
        <v>20</v>
      </c>
      <c r="AV63" s="13" t="s">
        <v>20</v>
      </c>
      <c r="AW63" s="13" t="s">
        <v>20</v>
      </c>
      <c r="AX63" s="13" t="s">
        <v>20</v>
      </c>
      <c r="AY63" s="13" t="s">
        <v>21</v>
      </c>
      <c r="AZ63" s="13" t="s">
        <v>21</v>
      </c>
      <c r="BA63" s="13" t="s">
        <v>21</v>
      </c>
      <c r="BB63" s="13" t="s">
        <v>22</v>
      </c>
      <c r="BC63" s="13" t="s">
        <v>22</v>
      </c>
      <c r="BD63" s="13" t="s">
        <v>22</v>
      </c>
      <c r="BE63" s="13" t="s">
        <v>22</v>
      </c>
      <c r="BF63" s="13" t="s">
        <v>22</v>
      </c>
      <c r="BG63" s="13" t="s">
        <v>22</v>
      </c>
      <c r="BH63" s="13" t="s">
        <v>21</v>
      </c>
      <c r="BI63" s="13" t="s">
        <v>21</v>
      </c>
      <c r="BJ63" s="13" t="s">
        <v>21</v>
      </c>
      <c r="BK63" s="13" t="s">
        <v>21</v>
      </c>
      <c r="BL63" s="13" t="s">
        <v>21</v>
      </c>
      <c r="BM63" s="13" t="s">
        <v>21</v>
      </c>
      <c r="BN63" s="13">
        <v>0</v>
      </c>
      <c r="BO63" s="13">
        <v>0</v>
      </c>
      <c r="BP63" s="13">
        <v>0</v>
      </c>
      <c r="BQ63" s="13">
        <v>0</v>
      </c>
      <c r="BR63" s="13">
        <v>0</v>
      </c>
      <c r="BS63" s="13">
        <v>1</v>
      </c>
      <c r="BT63" s="13">
        <v>1</v>
      </c>
      <c r="BU63" s="13">
        <v>1</v>
      </c>
      <c r="BV63" s="13">
        <v>1</v>
      </c>
      <c r="BW63" s="13">
        <v>1</v>
      </c>
      <c r="BX63" s="13">
        <v>0</v>
      </c>
      <c r="BY63" s="13">
        <v>0</v>
      </c>
      <c r="BZ63" s="109">
        <f t="shared" ref="BZ63" si="12">+SUM(BN63:BY63)</f>
        <v>5</v>
      </c>
      <c r="CA63" s="1" t="s">
        <v>334</v>
      </c>
      <c r="CB63" s="21">
        <v>500</v>
      </c>
      <c r="CC63" s="21" t="s">
        <v>335</v>
      </c>
      <c r="CD63" s="20" t="s">
        <v>39</v>
      </c>
      <c r="CE63" s="11"/>
      <c r="CF63" s="11"/>
      <c r="CG63" s="11"/>
      <c r="CH63" s="105"/>
      <c r="CI63" s="11"/>
      <c r="CJ63" s="11"/>
      <c r="CK63" s="11"/>
      <c r="CL63" s="11"/>
      <c r="CM63" s="105"/>
      <c r="CN63" s="11"/>
      <c r="CO63" s="238" t="s">
        <v>358</v>
      </c>
    </row>
    <row r="64" spans="1:93" x14ac:dyDescent="0.25">
      <c r="A64" s="235" t="s">
        <v>326</v>
      </c>
      <c r="B64" s="249">
        <v>310.33999999999997</v>
      </c>
      <c r="C64" s="11">
        <f>12.23+0.25</f>
        <v>12.48</v>
      </c>
      <c r="D64" s="11">
        <v>2.85</v>
      </c>
      <c r="E64" s="11">
        <v>0</v>
      </c>
      <c r="F64" s="11">
        <v>0</v>
      </c>
      <c r="G64" s="11">
        <f>12.23+0.25</f>
        <v>12.48</v>
      </c>
      <c r="H64" s="11">
        <v>0.69</v>
      </c>
      <c r="I64" s="11">
        <v>0</v>
      </c>
      <c r="J64" s="11">
        <v>0</v>
      </c>
      <c r="K64" s="11">
        <f>0.00497+0.12087</f>
        <v>0.12584000000000001</v>
      </c>
      <c r="L64" s="11">
        <f>0.00497+0.10116</f>
        <v>0.10613</v>
      </c>
      <c r="M64" s="11">
        <f>0.00497+0.07587</f>
        <v>8.0840000000000009E-2</v>
      </c>
      <c r="N64" s="11">
        <f>0.00497+0.10008</f>
        <v>0.10505</v>
      </c>
      <c r="O64" s="11">
        <f>0.00497+0.08953</f>
        <v>9.4500000000000001E-2</v>
      </c>
      <c r="P64" s="11">
        <f>0.00497+0.07695</f>
        <v>8.1920000000000007E-2</v>
      </c>
      <c r="Q64" s="30">
        <v>43282</v>
      </c>
      <c r="R64" s="13" t="s">
        <v>21</v>
      </c>
      <c r="S64" s="13" t="s">
        <v>21</v>
      </c>
      <c r="T64" s="13" t="s">
        <v>21</v>
      </c>
      <c r="U64" s="13" t="s">
        <v>21</v>
      </c>
      <c r="V64" s="13" t="s">
        <v>20</v>
      </c>
      <c r="W64" s="13" t="s">
        <v>20</v>
      </c>
      <c r="X64" s="13" t="s">
        <v>20</v>
      </c>
      <c r="Y64" s="13" t="s">
        <v>20</v>
      </c>
      <c r="Z64" s="13" t="s">
        <v>20</v>
      </c>
      <c r="AA64" s="13" t="s">
        <v>21</v>
      </c>
      <c r="AB64" s="13" t="s">
        <v>21</v>
      </c>
      <c r="AC64" s="13" t="s">
        <v>21</v>
      </c>
      <c r="AD64" s="13" t="s">
        <v>22</v>
      </c>
      <c r="AE64" s="13" t="s">
        <v>22</v>
      </c>
      <c r="AF64" s="13" t="s">
        <v>22</v>
      </c>
      <c r="AG64" s="13" t="s">
        <v>22</v>
      </c>
      <c r="AH64" s="13" t="s">
        <v>22</v>
      </c>
      <c r="AI64" s="13" t="s">
        <v>22</v>
      </c>
      <c r="AJ64" s="13" t="s">
        <v>21</v>
      </c>
      <c r="AK64" s="13" t="s">
        <v>21</v>
      </c>
      <c r="AL64" s="13" t="s">
        <v>21</v>
      </c>
      <c r="AM64" s="13" t="s">
        <v>21</v>
      </c>
      <c r="AN64" s="13" t="s">
        <v>21</v>
      </c>
      <c r="AO64" s="161" t="s">
        <v>21</v>
      </c>
      <c r="AP64" s="162" t="s">
        <v>21</v>
      </c>
      <c r="AQ64" s="13" t="s">
        <v>21</v>
      </c>
      <c r="AR64" s="13" t="s">
        <v>21</v>
      </c>
      <c r="AS64" s="13" t="s">
        <v>21</v>
      </c>
      <c r="AT64" s="13" t="s">
        <v>20</v>
      </c>
      <c r="AU64" s="13" t="s">
        <v>20</v>
      </c>
      <c r="AV64" s="13" t="s">
        <v>20</v>
      </c>
      <c r="AW64" s="13" t="s">
        <v>20</v>
      </c>
      <c r="AX64" s="13" t="s">
        <v>20</v>
      </c>
      <c r="AY64" s="13" t="s">
        <v>21</v>
      </c>
      <c r="AZ64" s="13" t="s">
        <v>21</v>
      </c>
      <c r="BA64" s="13" t="s">
        <v>21</v>
      </c>
      <c r="BB64" s="13" t="s">
        <v>22</v>
      </c>
      <c r="BC64" s="13" t="s">
        <v>22</v>
      </c>
      <c r="BD64" s="13" t="s">
        <v>22</v>
      </c>
      <c r="BE64" s="13" t="s">
        <v>22</v>
      </c>
      <c r="BF64" s="13" t="s">
        <v>22</v>
      </c>
      <c r="BG64" s="13" t="s">
        <v>22</v>
      </c>
      <c r="BH64" s="13" t="s">
        <v>21</v>
      </c>
      <c r="BI64" s="13" t="s">
        <v>21</v>
      </c>
      <c r="BJ64" s="13" t="s">
        <v>21</v>
      </c>
      <c r="BK64" s="13" t="s">
        <v>21</v>
      </c>
      <c r="BL64" s="13" t="s">
        <v>21</v>
      </c>
      <c r="BM64" s="13" t="s">
        <v>21</v>
      </c>
      <c r="BN64" s="13">
        <v>0</v>
      </c>
      <c r="BO64" s="13">
        <v>0</v>
      </c>
      <c r="BP64" s="13">
        <v>0</v>
      </c>
      <c r="BQ64" s="13">
        <v>0</v>
      </c>
      <c r="BR64" s="13">
        <v>0</v>
      </c>
      <c r="BS64" s="13">
        <v>1</v>
      </c>
      <c r="BT64" s="13">
        <v>1</v>
      </c>
      <c r="BU64" s="13">
        <v>1</v>
      </c>
      <c r="BV64" s="13">
        <v>1</v>
      </c>
      <c r="BW64" s="13">
        <v>1</v>
      </c>
      <c r="BX64" s="13">
        <v>0</v>
      </c>
      <c r="BY64" s="13">
        <v>0</v>
      </c>
      <c r="BZ64" s="109">
        <f t="shared" si="11"/>
        <v>5</v>
      </c>
      <c r="CA64" s="1" t="s">
        <v>339</v>
      </c>
      <c r="CB64" s="21">
        <v>20</v>
      </c>
      <c r="CC64" s="21">
        <v>500</v>
      </c>
      <c r="CD64" s="20" t="s">
        <v>39</v>
      </c>
      <c r="CE64" s="11"/>
      <c r="CF64" s="11"/>
      <c r="CG64" s="11"/>
      <c r="CH64" s="105"/>
      <c r="CI64" s="11"/>
      <c r="CJ64" s="11"/>
      <c r="CK64" s="11"/>
      <c r="CL64" s="11"/>
      <c r="CM64" s="105"/>
      <c r="CN64" s="11"/>
      <c r="CO64" s="238" t="s">
        <v>360</v>
      </c>
    </row>
    <row r="65" spans="1:93" x14ac:dyDescent="0.25">
      <c r="A65" s="235" t="s">
        <v>327</v>
      </c>
      <c r="B65" s="249">
        <v>744.64</v>
      </c>
      <c r="C65" s="11">
        <f>12.23+0.25</f>
        <v>12.48</v>
      </c>
      <c r="D65" s="11">
        <v>2.85</v>
      </c>
      <c r="E65" s="11">
        <v>0</v>
      </c>
      <c r="F65" s="11">
        <v>0</v>
      </c>
      <c r="G65" s="11">
        <f>12.23+0.25</f>
        <v>12.48</v>
      </c>
      <c r="H65" s="11">
        <v>0.69</v>
      </c>
      <c r="I65" s="11">
        <v>0</v>
      </c>
      <c r="J65" s="11">
        <v>0</v>
      </c>
      <c r="K65" s="11">
        <f>0.00497+0.12087</f>
        <v>0.12584000000000001</v>
      </c>
      <c r="L65" s="11">
        <f>0.00497+0.10116</f>
        <v>0.10613</v>
      </c>
      <c r="M65" s="11">
        <f>0.00497+0.07587</f>
        <v>8.0840000000000009E-2</v>
      </c>
      <c r="N65" s="11">
        <f>0.00497+0.10008</f>
        <v>0.10505</v>
      </c>
      <c r="O65" s="11">
        <f>0.00497+0.08953</f>
        <v>9.4500000000000001E-2</v>
      </c>
      <c r="P65" s="11">
        <f>0.00497+0.07695</f>
        <v>8.1920000000000007E-2</v>
      </c>
      <c r="Q65" s="30">
        <v>43282</v>
      </c>
      <c r="R65" s="13" t="s">
        <v>21</v>
      </c>
      <c r="S65" s="13" t="s">
        <v>21</v>
      </c>
      <c r="T65" s="13" t="s">
        <v>21</v>
      </c>
      <c r="U65" s="13" t="s">
        <v>21</v>
      </c>
      <c r="V65" s="13" t="s">
        <v>20</v>
      </c>
      <c r="W65" s="13" t="s">
        <v>20</v>
      </c>
      <c r="X65" s="13" t="s">
        <v>20</v>
      </c>
      <c r="Y65" s="13" t="s">
        <v>20</v>
      </c>
      <c r="Z65" s="13" t="s">
        <v>20</v>
      </c>
      <c r="AA65" s="13" t="s">
        <v>21</v>
      </c>
      <c r="AB65" s="13" t="s">
        <v>21</v>
      </c>
      <c r="AC65" s="13" t="s">
        <v>21</v>
      </c>
      <c r="AD65" s="13" t="s">
        <v>22</v>
      </c>
      <c r="AE65" s="13" t="s">
        <v>22</v>
      </c>
      <c r="AF65" s="13" t="s">
        <v>22</v>
      </c>
      <c r="AG65" s="13" t="s">
        <v>22</v>
      </c>
      <c r="AH65" s="13" t="s">
        <v>22</v>
      </c>
      <c r="AI65" s="13" t="s">
        <v>22</v>
      </c>
      <c r="AJ65" s="13" t="s">
        <v>21</v>
      </c>
      <c r="AK65" s="13" t="s">
        <v>21</v>
      </c>
      <c r="AL65" s="13" t="s">
        <v>21</v>
      </c>
      <c r="AM65" s="13" t="s">
        <v>21</v>
      </c>
      <c r="AN65" s="13" t="s">
        <v>21</v>
      </c>
      <c r="AO65" s="161" t="s">
        <v>21</v>
      </c>
      <c r="AP65" s="162" t="s">
        <v>21</v>
      </c>
      <c r="AQ65" s="13" t="s">
        <v>21</v>
      </c>
      <c r="AR65" s="13" t="s">
        <v>21</v>
      </c>
      <c r="AS65" s="13" t="s">
        <v>21</v>
      </c>
      <c r="AT65" s="13" t="s">
        <v>20</v>
      </c>
      <c r="AU65" s="13" t="s">
        <v>20</v>
      </c>
      <c r="AV65" s="13" t="s">
        <v>20</v>
      </c>
      <c r="AW65" s="13" t="s">
        <v>20</v>
      </c>
      <c r="AX65" s="13" t="s">
        <v>20</v>
      </c>
      <c r="AY65" s="13" t="s">
        <v>21</v>
      </c>
      <c r="AZ65" s="13" t="s">
        <v>21</v>
      </c>
      <c r="BA65" s="13" t="s">
        <v>21</v>
      </c>
      <c r="BB65" s="13" t="s">
        <v>22</v>
      </c>
      <c r="BC65" s="13" t="s">
        <v>22</v>
      </c>
      <c r="BD65" s="13" t="s">
        <v>22</v>
      </c>
      <c r="BE65" s="13" t="s">
        <v>22</v>
      </c>
      <c r="BF65" s="13" t="s">
        <v>22</v>
      </c>
      <c r="BG65" s="13" t="s">
        <v>22</v>
      </c>
      <c r="BH65" s="13" t="s">
        <v>21</v>
      </c>
      <c r="BI65" s="13" t="s">
        <v>21</v>
      </c>
      <c r="BJ65" s="13" t="s">
        <v>21</v>
      </c>
      <c r="BK65" s="13" t="s">
        <v>21</v>
      </c>
      <c r="BL65" s="13" t="s">
        <v>21</v>
      </c>
      <c r="BM65" s="13" t="s">
        <v>21</v>
      </c>
      <c r="BN65" s="13">
        <v>0</v>
      </c>
      <c r="BO65" s="13">
        <v>0</v>
      </c>
      <c r="BP65" s="13">
        <v>0</v>
      </c>
      <c r="BQ65" s="13">
        <v>0</v>
      </c>
      <c r="BR65" s="13">
        <v>0</v>
      </c>
      <c r="BS65" s="13">
        <v>1</v>
      </c>
      <c r="BT65" s="13">
        <v>1</v>
      </c>
      <c r="BU65" s="13">
        <v>1</v>
      </c>
      <c r="BV65" s="13">
        <v>1</v>
      </c>
      <c r="BW65" s="13">
        <v>1</v>
      </c>
      <c r="BX65" s="13">
        <v>0</v>
      </c>
      <c r="BY65" s="13">
        <v>0</v>
      </c>
      <c r="BZ65" s="109">
        <f t="shared" si="11"/>
        <v>5</v>
      </c>
      <c r="CA65" s="1" t="s">
        <v>338</v>
      </c>
      <c r="CB65" s="21">
        <v>500</v>
      </c>
      <c r="CC65" s="21" t="s">
        <v>15</v>
      </c>
      <c r="CD65" s="20" t="s">
        <v>39</v>
      </c>
      <c r="CE65" s="11"/>
      <c r="CF65" s="11"/>
      <c r="CG65" s="11"/>
      <c r="CH65" s="105"/>
      <c r="CI65" s="11"/>
      <c r="CJ65" s="11"/>
      <c r="CK65" s="11"/>
      <c r="CL65" s="11"/>
      <c r="CM65" s="105"/>
      <c r="CN65" s="11"/>
      <c r="CO65" s="238" t="s">
        <v>360</v>
      </c>
    </row>
    <row r="66" spans="1:93" x14ac:dyDescent="0.25">
      <c r="A66" s="235" t="s">
        <v>336</v>
      </c>
      <c r="B66" s="249">
        <v>310.33999999999997</v>
      </c>
      <c r="C66" s="11">
        <f>12.23+18.86</f>
        <v>31.09</v>
      </c>
      <c r="D66" s="11">
        <v>2.85</v>
      </c>
      <c r="E66" s="11">
        <v>0</v>
      </c>
      <c r="F66" s="11">
        <v>0</v>
      </c>
      <c r="G66" s="11">
        <f>12.23</f>
        <v>12.23</v>
      </c>
      <c r="H66" s="11">
        <v>0.69</v>
      </c>
      <c r="I66" s="11">
        <v>0</v>
      </c>
      <c r="J66" s="11">
        <v>0</v>
      </c>
      <c r="K66" s="11">
        <f>0.00497+0.12275</f>
        <v>0.12772</v>
      </c>
      <c r="L66" s="11">
        <f>0.00497+0.10287</f>
        <v>0.10784000000000001</v>
      </c>
      <c r="M66" s="11">
        <f>0.00497+0.07587</f>
        <v>8.0840000000000009E-2</v>
      </c>
      <c r="N66" s="11">
        <f>0.00497+0.10088</f>
        <v>0.10585</v>
      </c>
      <c r="O66" s="11">
        <f>0.00497+0.08953</f>
        <v>9.4500000000000001E-2</v>
      </c>
      <c r="P66" s="11">
        <f>0.00497+0.07695</f>
        <v>8.1920000000000007E-2</v>
      </c>
      <c r="Q66" s="30">
        <v>43282</v>
      </c>
      <c r="R66" s="13" t="s">
        <v>21</v>
      </c>
      <c r="S66" s="13" t="s">
        <v>21</v>
      </c>
      <c r="T66" s="13" t="s">
        <v>21</v>
      </c>
      <c r="U66" s="13" t="s">
        <v>21</v>
      </c>
      <c r="V66" s="13" t="s">
        <v>20</v>
      </c>
      <c r="W66" s="13" t="s">
        <v>20</v>
      </c>
      <c r="X66" s="13" t="s">
        <v>20</v>
      </c>
      <c r="Y66" s="13" t="s">
        <v>20</v>
      </c>
      <c r="Z66" s="13" t="s">
        <v>20</v>
      </c>
      <c r="AA66" s="13" t="s">
        <v>21</v>
      </c>
      <c r="AB66" s="13" t="s">
        <v>21</v>
      </c>
      <c r="AC66" s="13" t="s">
        <v>21</v>
      </c>
      <c r="AD66" s="13" t="s">
        <v>22</v>
      </c>
      <c r="AE66" s="13" t="s">
        <v>22</v>
      </c>
      <c r="AF66" s="13" t="s">
        <v>22</v>
      </c>
      <c r="AG66" s="13" t="s">
        <v>22</v>
      </c>
      <c r="AH66" s="13" t="s">
        <v>22</v>
      </c>
      <c r="AI66" s="13" t="s">
        <v>22</v>
      </c>
      <c r="AJ66" s="13" t="s">
        <v>21</v>
      </c>
      <c r="AK66" s="13" t="s">
        <v>21</v>
      </c>
      <c r="AL66" s="13" t="s">
        <v>21</v>
      </c>
      <c r="AM66" s="13" t="s">
        <v>21</v>
      </c>
      <c r="AN66" s="13" t="s">
        <v>21</v>
      </c>
      <c r="AO66" s="161" t="s">
        <v>21</v>
      </c>
      <c r="AP66" s="162" t="s">
        <v>21</v>
      </c>
      <c r="AQ66" s="13" t="s">
        <v>21</v>
      </c>
      <c r="AR66" s="13" t="s">
        <v>21</v>
      </c>
      <c r="AS66" s="13" t="s">
        <v>21</v>
      </c>
      <c r="AT66" s="13" t="s">
        <v>20</v>
      </c>
      <c r="AU66" s="13" t="s">
        <v>20</v>
      </c>
      <c r="AV66" s="13" t="s">
        <v>20</v>
      </c>
      <c r="AW66" s="13" t="s">
        <v>20</v>
      </c>
      <c r="AX66" s="13" t="s">
        <v>20</v>
      </c>
      <c r="AY66" s="13" t="s">
        <v>21</v>
      </c>
      <c r="AZ66" s="13" t="s">
        <v>21</v>
      </c>
      <c r="BA66" s="13" t="s">
        <v>21</v>
      </c>
      <c r="BB66" s="13" t="s">
        <v>22</v>
      </c>
      <c r="BC66" s="13" t="s">
        <v>22</v>
      </c>
      <c r="BD66" s="13" t="s">
        <v>22</v>
      </c>
      <c r="BE66" s="13" t="s">
        <v>22</v>
      </c>
      <c r="BF66" s="13" t="s">
        <v>22</v>
      </c>
      <c r="BG66" s="13" t="s">
        <v>22</v>
      </c>
      <c r="BH66" s="13" t="s">
        <v>21</v>
      </c>
      <c r="BI66" s="13" t="s">
        <v>21</v>
      </c>
      <c r="BJ66" s="13" t="s">
        <v>21</v>
      </c>
      <c r="BK66" s="13" t="s">
        <v>21</v>
      </c>
      <c r="BL66" s="13" t="s">
        <v>21</v>
      </c>
      <c r="BM66" s="13" t="s">
        <v>21</v>
      </c>
      <c r="BN66" s="13">
        <v>0</v>
      </c>
      <c r="BO66" s="13">
        <v>0</v>
      </c>
      <c r="BP66" s="13">
        <v>0</v>
      </c>
      <c r="BQ66" s="13">
        <v>0</v>
      </c>
      <c r="BR66" s="13">
        <v>0</v>
      </c>
      <c r="BS66" s="13">
        <v>1</v>
      </c>
      <c r="BT66" s="13">
        <v>1</v>
      </c>
      <c r="BU66" s="13">
        <v>1</v>
      </c>
      <c r="BV66" s="13">
        <v>1</v>
      </c>
      <c r="BW66" s="13">
        <v>1</v>
      </c>
      <c r="BX66" s="13">
        <v>0</v>
      </c>
      <c r="BY66" s="13">
        <v>0</v>
      </c>
      <c r="BZ66" s="109">
        <f t="shared" ref="BZ66:BZ67" si="13">+SUM(BN66:BY66)</f>
        <v>5</v>
      </c>
      <c r="CA66" s="1" t="s">
        <v>340</v>
      </c>
      <c r="CB66" s="21">
        <v>20</v>
      </c>
      <c r="CC66" s="21">
        <v>500</v>
      </c>
      <c r="CD66" s="20" t="s">
        <v>39</v>
      </c>
      <c r="CE66" s="11"/>
      <c r="CF66" s="11"/>
      <c r="CG66" s="11"/>
      <c r="CH66" s="105"/>
      <c r="CI66" s="11"/>
      <c r="CJ66" s="11"/>
      <c r="CK66" s="11"/>
      <c r="CL66" s="11"/>
      <c r="CM66" s="105"/>
      <c r="CN66" s="11"/>
      <c r="CO66" s="238" t="s">
        <v>358</v>
      </c>
    </row>
    <row r="67" spans="1:93" x14ac:dyDescent="0.25">
      <c r="A67" s="235" t="s">
        <v>337</v>
      </c>
      <c r="B67" s="249">
        <v>744.64</v>
      </c>
      <c r="C67" s="11">
        <f>12.23+18.86</f>
        <v>31.09</v>
      </c>
      <c r="D67" s="11">
        <v>2.85</v>
      </c>
      <c r="E67" s="11">
        <v>0</v>
      </c>
      <c r="F67" s="11">
        <v>0</v>
      </c>
      <c r="G67" s="11">
        <f>12.23</f>
        <v>12.23</v>
      </c>
      <c r="H67" s="11">
        <v>0.69</v>
      </c>
      <c r="I67" s="11">
        <v>0</v>
      </c>
      <c r="J67" s="11">
        <v>0</v>
      </c>
      <c r="K67" s="11">
        <f>0.00497+0.12275</f>
        <v>0.12772</v>
      </c>
      <c r="L67" s="11">
        <f>0.00497+0.10287</f>
        <v>0.10784000000000001</v>
      </c>
      <c r="M67" s="11">
        <f>0.00497+0.07587</f>
        <v>8.0840000000000009E-2</v>
      </c>
      <c r="N67" s="11">
        <f>0.00497+0.10088</f>
        <v>0.10585</v>
      </c>
      <c r="O67" s="11">
        <f>0.00497+0.08953</f>
        <v>9.4500000000000001E-2</v>
      </c>
      <c r="P67" s="11">
        <f>0.00497+0.07695</f>
        <v>8.1920000000000007E-2</v>
      </c>
      <c r="Q67" s="30">
        <v>43282</v>
      </c>
      <c r="R67" s="13" t="s">
        <v>21</v>
      </c>
      <c r="S67" s="13" t="s">
        <v>21</v>
      </c>
      <c r="T67" s="13" t="s">
        <v>21</v>
      </c>
      <c r="U67" s="13" t="s">
        <v>21</v>
      </c>
      <c r="V67" s="13" t="s">
        <v>20</v>
      </c>
      <c r="W67" s="13" t="s">
        <v>20</v>
      </c>
      <c r="X67" s="13" t="s">
        <v>20</v>
      </c>
      <c r="Y67" s="13" t="s">
        <v>20</v>
      </c>
      <c r="Z67" s="13" t="s">
        <v>20</v>
      </c>
      <c r="AA67" s="13" t="s">
        <v>21</v>
      </c>
      <c r="AB67" s="13" t="s">
        <v>21</v>
      </c>
      <c r="AC67" s="13" t="s">
        <v>21</v>
      </c>
      <c r="AD67" s="13" t="s">
        <v>22</v>
      </c>
      <c r="AE67" s="13" t="s">
        <v>22</v>
      </c>
      <c r="AF67" s="13" t="s">
        <v>22</v>
      </c>
      <c r="AG67" s="13" t="s">
        <v>22</v>
      </c>
      <c r="AH67" s="13" t="s">
        <v>22</v>
      </c>
      <c r="AI67" s="13" t="s">
        <v>22</v>
      </c>
      <c r="AJ67" s="13" t="s">
        <v>21</v>
      </c>
      <c r="AK67" s="13" t="s">
        <v>21</v>
      </c>
      <c r="AL67" s="13" t="s">
        <v>21</v>
      </c>
      <c r="AM67" s="13" t="s">
        <v>21</v>
      </c>
      <c r="AN67" s="13" t="s">
        <v>21</v>
      </c>
      <c r="AO67" s="161" t="s">
        <v>21</v>
      </c>
      <c r="AP67" s="162" t="s">
        <v>21</v>
      </c>
      <c r="AQ67" s="13" t="s">
        <v>21</v>
      </c>
      <c r="AR67" s="13" t="s">
        <v>21</v>
      </c>
      <c r="AS67" s="13" t="s">
        <v>21</v>
      </c>
      <c r="AT67" s="13" t="s">
        <v>20</v>
      </c>
      <c r="AU67" s="13" t="s">
        <v>20</v>
      </c>
      <c r="AV67" s="13" t="s">
        <v>20</v>
      </c>
      <c r="AW67" s="13" t="s">
        <v>20</v>
      </c>
      <c r="AX67" s="13" t="s">
        <v>20</v>
      </c>
      <c r="AY67" s="13" t="s">
        <v>21</v>
      </c>
      <c r="AZ67" s="13" t="s">
        <v>21</v>
      </c>
      <c r="BA67" s="13" t="s">
        <v>21</v>
      </c>
      <c r="BB67" s="13" t="s">
        <v>22</v>
      </c>
      <c r="BC67" s="13" t="s">
        <v>22</v>
      </c>
      <c r="BD67" s="13" t="s">
        <v>22</v>
      </c>
      <c r="BE67" s="13" t="s">
        <v>22</v>
      </c>
      <c r="BF67" s="13" t="s">
        <v>22</v>
      </c>
      <c r="BG67" s="13" t="s">
        <v>22</v>
      </c>
      <c r="BH67" s="13" t="s">
        <v>21</v>
      </c>
      <c r="BI67" s="13" t="s">
        <v>21</v>
      </c>
      <c r="BJ67" s="13" t="s">
        <v>21</v>
      </c>
      <c r="BK67" s="13" t="s">
        <v>21</v>
      </c>
      <c r="BL67" s="13" t="s">
        <v>21</v>
      </c>
      <c r="BM67" s="13" t="s">
        <v>21</v>
      </c>
      <c r="BN67" s="13">
        <v>0</v>
      </c>
      <c r="BO67" s="13">
        <v>0</v>
      </c>
      <c r="BP67" s="13">
        <v>0</v>
      </c>
      <c r="BQ67" s="13">
        <v>0</v>
      </c>
      <c r="BR67" s="13">
        <v>0</v>
      </c>
      <c r="BS67" s="13">
        <v>1</v>
      </c>
      <c r="BT67" s="13">
        <v>1</v>
      </c>
      <c r="BU67" s="13">
        <v>1</v>
      </c>
      <c r="BV67" s="13">
        <v>1</v>
      </c>
      <c r="BW67" s="13">
        <v>1</v>
      </c>
      <c r="BX67" s="13">
        <v>0</v>
      </c>
      <c r="BY67" s="13">
        <v>0</v>
      </c>
      <c r="BZ67" s="109">
        <f t="shared" si="13"/>
        <v>5</v>
      </c>
      <c r="CA67" s="1" t="s">
        <v>341</v>
      </c>
      <c r="CB67" s="21">
        <v>500</v>
      </c>
      <c r="CC67" s="21" t="s">
        <v>15</v>
      </c>
      <c r="CD67" s="20" t="s">
        <v>39</v>
      </c>
      <c r="CE67" s="11"/>
      <c r="CF67" s="11"/>
      <c r="CG67" s="11"/>
      <c r="CH67" s="105"/>
      <c r="CI67" s="11"/>
      <c r="CJ67" s="11"/>
      <c r="CK67" s="11"/>
      <c r="CL67" s="11"/>
      <c r="CM67" s="105"/>
      <c r="CN67" s="11"/>
      <c r="CO67" s="238" t="s">
        <v>358</v>
      </c>
    </row>
    <row r="68" spans="1:93" x14ac:dyDescent="0.25">
      <c r="A68" s="235" t="s">
        <v>321</v>
      </c>
      <c r="B68" s="249">
        <f>3.65+2.85</f>
        <v>6.5</v>
      </c>
      <c r="C68" s="11">
        <v>0</v>
      </c>
      <c r="D68" s="11">
        <v>0</v>
      </c>
      <c r="E68" s="11">
        <v>0</v>
      </c>
      <c r="F68" s="11">
        <v>0</v>
      </c>
      <c r="G68" s="11">
        <v>0</v>
      </c>
      <c r="H68" s="11">
        <v>0</v>
      </c>
      <c r="I68" s="11">
        <v>0</v>
      </c>
      <c r="J68" s="11">
        <v>0</v>
      </c>
      <c r="K68" s="11">
        <v>0</v>
      </c>
      <c r="L68" s="11">
        <v>0</v>
      </c>
      <c r="M68" s="11">
        <v>0</v>
      </c>
      <c r="N68" s="11">
        <v>0</v>
      </c>
      <c r="O68" s="11">
        <v>0</v>
      </c>
      <c r="P68" s="11">
        <v>0</v>
      </c>
      <c r="Q68" s="30">
        <v>42736</v>
      </c>
      <c r="R68" s="13" t="s">
        <v>20</v>
      </c>
      <c r="S68" s="13" t="s">
        <v>20</v>
      </c>
      <c r="T68" s="13" t="s">
        <v>20</v>
      </c>
      <c r="U68" s="13" t="s">
        <v>20</v>
      </c>
      <c r="V68" s="13" t="s">
        <v>20</v>
      </c>
      <c r="W68" s="13" t="s">
        <v>20</v>
      </c>
      <c r="X68" s="13" t="s">
        <v>20</v>
      </c>
      <c r="Y68" s="13" t="s">
        <v>20</v>
      </c>
      <c r="Z68" s="13" t="s">
        <v>20</v>
      </c>
      <c r="AA68" s="13" t="s">
        <v>20</v>
      </c>
      <c r="AB68" s="13" t="s">
        <v>22</v>
      </c>
      <c r="AC68" s="13" t="s">
        <v>22</v>
      </c>
      <c r="AD68" s="13" t="s">
        <v>22</v>
      </c>
      <c r="AE68" s="13" t="s">
        <v>22</v>
      </c>
      <c r="AF68" s="13" t="s">
        <v>22</v>
      </c>
      <c r="AG68" s="13" t="s">
        <v>22</v>
      </c>
      <c r="AH68" s="13" t="s">
        <v>22</v>
      </c>
      <c r="AI68" s="13" t="s">
        <v>22</v>
      </c>
      <c r="AJ68" s="13" t="s">
        <v>20</v>
      </c>
      <c r="AK68" s="13" t="s">
        <v>20</v>
      </c>
      <c r="AL68" s="13" t="s">
        <v>20</v>
      </c>
      <c r="AM68" s="13" t="s">
        <v>20</v>
      </c>
      <c r="AN68" s="13" t="s">
        <v>20</v>
      </c>
      <c r="AO68" s="161" t="s">
        <v>20</v>
      </c>
      <c r="AP68" s="13" t="s">
        <v>20</v>
      </c>
      <c r="AQ68" s="13" t="s">
        <v>20</v>
      </c>
      <c r="AR68" s="13" t="s">
        <v>20</v>
      </c>
      <c r="AS68" s="13" t="s">
        <v>20</v>
      </c>
      <c r="AT68" s="13" t="s">
        <v>20</v>
      </c>
      <c r="AU68" s="13" t="s">
        <v>20</v>
      </c>
      <c r="AV68" s="13" t="s">
        <v>20</v>
      </c>
      <c r="AW68" s="13" t="s">
        <v>20</v>
      </c>
      <c r="AX68" s="13" t="s">
        <v>20</v>
      </c>
      <c r="AY68" s="13" t="s">
        <v>20</v>
      </c>
      <c r="AZ68" s="13" t="s">
        <v>22</v>
      </c>
      <c r="BA68" s="13" t="s">
        <v>22</v>
      </c>
      <c r="BB68" s="13" t="s">
        <v>22</v>
      </c>
      <c r="BC68" s="13" t="s">
        <v>22</v>
      </c>
      <c r="BD68" s="13" t="s">
        <v>22</v>
      </c>
      <c r="BE68" s="13" t="s">
        <v>22</v>
      </c>
      <c r="BF68" s="13" t="s">
        <v>22</v>
      </c>
      <c r="BG68" s="13" t="s">
        <v>22</v>
      </c>
      <c r="BH68" s="13" t="s">
        <v>20</v>
      </c>
      <c r="BI68" s="13" t="s">
        <v>20</v>
      </c>
      <c r="BJ68" s="13" t="s">
        <v>20</v>
      </c>
      <c r="BK68" s="13" t="s">
        <v>20</v>
      </c>
      <c r="BL68" s="13" t="s">
        <v>20</v>
      </c>
      <c r="BM68" s="13" t="s">
        <v>20</v>
      </c>
      <c r="BN68" s="13">
        <v>1</v>
      </c>
      <c r="BO68" s="13">
        <v>1</v>
      </c>
      <c r="BP68" s="13">
        <v>1</v>
      </c>
      <c r="BQ68" s="13">
        <v>1</v>
      </c>
      <c r="BR68" s="13">
        <v>1</v>
      </c>
      <c r="BS68" s="13">
        <v>1</v>
      </c>
      <c r="BT68" s="13">
        <v>1</v>
      </c>
      <c r="BU68" s="13">
        <v>1</v>
      </c>
      <c r="BV68" s="13">
        <v>1</v>
      </c>
      <c r="BW68" s="13">
        <v>1</v>
      </c>
      <c r="BX68" s="13">
        <v>1</v>
      </c>
      <c r="BY68" s="13">
        <v>1</v>
      </c>
      <c r="BZ68" s="109">
        <f t="shared" si="11"/>
        <v>12</v>
      </c>
      <c r="CA68" s="1" t="s">
        <v>315</v>
      </c>
      <c r="CB68" s="21">
        <v>0</v>
      </c>
      <c r="CC68" s="21">
        <v>4000</v>
      </c>
      <c r="CD68" s="20" t="s">
        <v>37</v>
      </c>
      <c r="CE68" s="11">
        <v>0.17533000000000001</v>
      </c>
      <c r="CF68" s="11">
        <v>0.15917000000000001</v>
      </c>
      <c r="CG68" s="11"/>
      <c r="CH68" s="105">
        <v>800</v>
      </c>
      <c r="CI68" s="11"/>
      <c r="CJ68" s="11">
        <v>0.17533000000000001</v>
      </c>
      <c r="CK68" s="11">
        <v>0.15917000000000001</v>
      </c>
      <c r="CL68" s="11"/>
      <c r="CM68" s="105">
        <v>800</v>
      </c>
      <c r="CN68" s="11"/>
      <c r="CO68" t="s">
        <v>357</v>
      </c>
    </row>
    <row r="69" spans="1:93" x14ac:dyDescent="0.25">
      <c r="A69" s="235" t="s">
        <v>345</v>
      </c>
      <c r="B69" s="249">
        <f>66.17</f>
        <v>66.17</v>
      </c>
      <c r="C69" s="11">
        <v>0</v>
      </c>
      <c r="D69" s="11">
        <v>8</v>
      </c>
      <c r="E69" s="11">
        <v>0</v>
      </c>
      <c r="F69" s="11">
        <v>0</v>
      </c>
      <c r="G69" s="11">
        <v>0</v>
      </c>
      <c r="H69" s="11">
        <v>8</v>
      </c>
      <c r="I69" s="11">
        <v>0</v>
      </c>
      <c r="J69" s="11">
        <v>0</v>
      </c>
      <c r="K69" s="11">
        <f>0.12178</f>
        <v>0.12178</v>
      </c>
      <c r="L69" s="11">
        <v>0</v>
      </c>
      <c r="M69" s="11">
        <f>0.09363</f>
        <v>9.3630000000000005E-2</v>
      </c>
      <c r="N69" s="11">
        <f>0.12178</f>
        <v>0.12178</v>
      </c>
      <c r="O69" s="11">
        <v>0</v>
      </c>
      <c r="P69" s="11">
        <f>0.09363</f>
        <v>9.3630000000000005E-2</v>
      </c>
      <c r="Q69" s="30">
        <v>42736</v>
      </c>
      <c r="R69" s="13" t="s">
        <v>20</v>
      </c>
      <c r="S69" s="13" t="s">
        <v>20</v>
      </c>
      <c r="T69" s="13" t="s">
        <v>20</v>
      </c>
      <c r="U69" s="13" t="s">
        <v>20</v>
      </c>
      <c r="V69" s="13" t="s">
        <v>20</v>
      </c>
      <c r="W69" s="13" t="s">
        <v>20</v>
      </c>
      <c r="X69" s="13" t="s">
        <v>20</v>
      </c>
      <c r="Y69" s="13" t="s">
        <v>20</v>
      </c>
      <c r="Z69" s="13" t="s">
        <v>20</v>
      </c>
      <c r="AA69" s="13" t="s">
        <v>20</v>
      </c>
      <c r="AB69" s="13" t="s">
        <v>22</v>
      </c>
      <c r="AC69" s="13" t="s">
        <v>22</v>
      </c>
      <c r="AD69" s="13" t="s">
        <v>22</v>
      </c>
      <c r="AE69" s="13" t="s">
        <v>22</v>
      </c>
      <c r="AF69" s="13" t="s">
        <v>22</v>
      </c>
      <c r="AG69" s="13" t="s">
        <v>22</v>
      </c>
      <c r="AH69" s="13" t="s">
        <v>22</v>
      </c>
      <c r="AI69" s="13" t="s">
        <v>22</v>
      </c>
      <c r="AJ69" s="13" t="s">
        <v>20</v>
      </c>
      <c r="AK69" s="13" t="s">
        <v>20</v>
      </c>
      <c r="AL69" s="13" t="s">
        <v>20</v>
      </c>
      <c r="AM69" s="13" t="s">
        <v>20</v>
      </c>
      <c r="AN69" s="13" t="s">
        <v>20</v>
      </c>
      <c r="AO69" s="161" t="s">
        <v>20</v>
      </c>
      <c r="AP69" s="13" t="s">
        <v>20</v>
      </c>
      <c r="AQ69" s="13" t="s">
        <v>20</v>
      </c>
      <c r="AR69" s="13" t="s">
        <v>20</v>
      </c>
      <c r="AS69" s="13" t="s">
        <v>20</v>
      </c>
      <c r="AT69" s="13" t="s">
        <v>20</v>
      </c>
      <c r="AU69" s="13" t="s">
        <v>20</v>
      </c>
      <c r="AV69" s="13" t="s">
        <v>20</v>
      </c>
      <c r="AW69" s="13" t="s">
        <v>20</v>
      </c>
      <c r="AX69" s="13" t="s">
        <v>20</v>
      </c>
      <c r="AY69" s="13" t="s">
        <v>20</v>
      </c>
      <c r="AZ69" s="13" t="s">
        <v>22</v>
      </c>
      <c r="BA69" s="13" t="s">
        <v>22</v>
      </c>
      <c r="BB69" s="13" t="s">
        <v>22</v>
      </c>
      <c r="BC69" s="13" t="s">
        <v>22</v>
      </c>
      <c r="BD69" s="13" t="s">
        <v>22</v>
      </c>
      <c r="BE69" s="13" t="s">
        <v>22</v>
      </c>
      <c r="BF69" s="13" t="s">
        <v>22</v>
      </c>
      <c r="BG69" s="13" t="s">
        <v>22</v>
      </c>
      <c r="BH69" s="13" t="s">
        <v>20</v>
      </c>
      <c r="BI69" s="13" t="s">
        <v>20</v>
      </c>
      <c r="BJ69" s="13" t="s">
        <v>20</v>
      </c>
      <c r="BK69" s="13" t="s">
        <v>20</v>
      </c>
      <c r="BL69" s="13" t="s">
        <v>20</v>
      </c>
      <c r="BM69" s="13" t="s">
        <v>20</v>
      </c>
      <c r="BN69" s="13">
        <v>1</v>
      </c>
      <c r="BO69" s="13">
        <v>1</v>
      </c>
      <c r="BP69" s="13">
        <v>1</v>
      </c>
      <c r="BQ69" s="13">
        <v>1</v>
      </c>
      <c r="BR69" s="13">
        <v>1</v>
      </c>
      <c r="BS69" s="13">
        <v>1</v>
      </c>
      <c r="BT69" s="13">
        <v>1</v>
      </c>
      <c r="BU69" s="13">
        <v>1</v>
      </c>
      <c r="BV69" s="13">
        <v>1</v>
      </c>
      <c r="BW69" s="13">
        <v>1</v>
      </c>
      <c r="BX69" s="13">
        <v>1</v>
      </c>
      <c r="BY69" s="13">
        <v>1</v>
      </c>
      <c r="BZ69" s="109">
        <f t="shared" si="11"/>
        <v>12</v>
      </c>
      <c r="CA69" s="1" t="s">
        <v>207</v>
      </c>
      <c r="CB69" s="21">
        <v>0</v>
      </c>
      <c r="CC69" s="21">
        <v>4000</v>
      </c>
      <c r="CD69" s="20" t="s">
        <v>39</v>
      </c>
      <c r="CE69" s="11"/>
      <c r="CF69" s="11"/>
      <c r="CG69" s="11"/>
      <c r="CH69" s="105"/>
      <c r="CI69" s="11"/>
      <c r="CJ69" s="11"/>
      <c r="CK69" s="11"/>
      <c r="CL69" s="11"/>
      <c r="CM69" s="105"/>
      <c r="CN69" s="11"/>
    </row>
    <row r="70" spans="1:93" x14ac:dyDescent="0.25">
      <c r="A70" s="235" t="s">
        <v>346</v>
      </c>
      <c r="B70" s="249">
        <v>66.17</v>
      </c>
      <c r="C70" s="11">
        <v>8</v>
      </c>
      <c r="D70" s="11">
        <v>0</v>
      </c>
      <c r="E70" s="11">
        <v>0</v>
      </c>
      <c r="F70" s="11">
        <v>0</v>
      </c>
      <c r="G70" s="11">
        <v>8</v>
      </c>
      <c r="H70" s="11">
        <v>0</v>
      </c>
      <c r="I70" s="11">
        <v>0</v>
      </c>
      <c r="J70" s="11">
        <v>0</v>
      </c>
      <c r="K70" s="11">
        <v>0</v>
      </c>
      <c r="L70" s="11">
        <v>0</v>
      </c>
      <c r="M70" s="11">
        <v>0</v>
      </c>
      <c r="N70" s="11">
        <v>0</v>
      </c>
      <c r="O70" s="11">
        <v>0</v>
      </c>
      <c r="P70" s="11">
        <v>0</v>
      </c>
      <c r="Q70" s="30">
        <v>42736</v>
      </c>
      <c r="R70" s="13" t="s">
        <v>22</v>
      </c>
      <c r="S70" s="13" t="s">
        <v>22</v>
      </c>
      <c r="T70" s="13" t="s">
        <v>22</v>
      </c>
      <c r="U70" s="13" t="s">
        <v>22</v>
      </c>
      <c r="V70" s="13" t="s">
        <v>22</v>
      </c>
      <c r="W70" s="13" t="s">
        <v>22</v>
      </c>
      <c r="X70" s="13" t="s">
        <v>22</v>
      </c>
      <c r="Y70" s="13" t="s">
        <v>22</v>
      </c>
      <c r="Z70" s="13" t="s">
        <v>22</v>
      </c>
      <c r="AA70" s="13" t="s">
        <v>22</v>
      </c>
      <c r="AB70" s="13" t="s">
        <v>22</v>
      </c>
      <c r="AC70" s="13" t="s">
        <v>22</v>
      </c>
      <c r="AD70" s="13" t="s">
        <v>22</v>
      </c>
      <c r="AE70" s="13" t="s">
        <v>22</v>
      </c>
      <c r="AF70" s="13" t="s">
        <v>22</v>
      </c>
      <c r="AG70" s="13" t="s">
        <v>22</v>
      </c>
      <c r="AH70" s="13" t="s">
        <v>22</v>
      </c>
      <c r="AI70" s="13" t="s">
        <v>22</v>
      </c>
      <c r="AJ70" s="13" t="s">
        <v>22</v>
      </c>
      <c r="AK70" s="13" t="s">
        <v>22</v>
      </c>
      <c r="AL70" s="13" t="s">
        <v>22</v>
      </c>
      <c r="AM70" s="13" t="s">
        <v>22</v>
      </c>
      <c r="AN70" s="13" t="s">
        <v>22</v>
      </c>
      <c r="AO70" s="161" t="s">
        <v>22</v>
      </c>
      <c r="AP70" s="13" t="s">
        <v>22</v>
      </c>
      <c r="AQ70" s="13" t="s">
        <v>22</v>
      </c>
      <c r="AR70" s="13" t="s">
        <v>22</v>
      </c>
      <c r="AS70" s="13" t="s">
        <v>22</v>
      </c>
      <c r="AT70" s="13" t="s">
        <v>22</v>
      </c>
      <c r="AU70" s="13" t="s">
        <v>22</v>
      </c>
      <c r="AV70" s="13" t="s">
        <v>22</v>
      </c>
      <c r="AW70" s="13" t="s">
        <v>22</v>
      </c>
      <c r="AX70" s="13" t="s">
        <v>22</v>
      </c>
      <c r="AY70" s="13" t="s">
        <v>22</v>
      </c>
      <c r="AZ70" s="13" t="s">
        <v>22</v>
      </c>
      <c r="BA70" s="13" t="s">
        <v>22</v>
      </c>
      <c r="BB70" s="13" t="s">
        <v>22</v>
      </c>
      <c r="BC70" s="13" t="s">
        <v>22</v>
      </c>
      <c r="BD70" s="13" t="s">
        <v>22</v>
      </c>
      <c r="BE70" s="13" t="s">
        <v>22</v>
      </c>
      <c r="BF70" s="13" t="s">
        <v>22</v>
      </c>
      <c r="BG70" s="13" t="s">
        <v>22</v>
      </c>
      <c r="BH70" s="13" t="s">
        <v>22</v>
      </c>
      <c r="BI70" s="13" t="s">
        <v>22</v>
      </c>
      <c r="BJ70" s="13" t="s">
        <v>22</v>
      </c>
      <c r="BK70" s="13" t="s">
        <v>22</v>
      </c>
      <c r="BL70" s="13" t="s">
        <v>22</v>
      </c>
      <c r="BM70" s="13" t="s">
        <v>22</v>
      </c>
      <c r="BN70" s="13">
        <v>1</v>
      </c>
      <c r="BO70" s="13">
        <v>1</v>
      </c>
      <c r="BP70" s="13">
        <v>1</v>
      </c>
      <c r="BQ70" s="13">
        <v>1</v>
      </c>
      <c r="BR70" s="13">
        <v>1</v>
      </c>
      <c r="BS70" s="13">
        <v>1</v>
      </c>
      <c r="BT70" s="13">
        <v>1</v>
      </c>
      <c r="BU70" s="13">
        <v>1</v>
      </c>
      <c r="BV70" s="13">
        <v>1</v>
      </c>
      <c r="BW70" s="13">
        <v>1</v>
      </c>
      <c r="BX70" s="13">
        <v>1</v>
      </c>
      <c r="BY70" s="13">
        <v>1</v>
      </c>
      <c r="BZ70" s="109">
        <f t="shared" si="11"/>
        <v>12</v>
      </c>
      <c r="CA70" s="1" t="s">
        <v>207</v>
      </c>
      <c r="CB70" s="21">
        <v>0</v>
      </c>
      <c r="CC70" s="21">
        <v>4000</v>
      </c>
      <c r="CD70" s="20" t="s">
        <v>37</v>
      </c>
      <c r="CE70" s="11">
        <v>0.10629</v>
      </c>
      <c r="CF70" s="11"/>
      <c r="CG70" s="11"/>
      <c r="CH70" s="105"/>
      <c r="CI70" s="11"/>
      <c r="CJ70" s="11"/>
      <c r="CK70" s="11"/>
      <c r="CL70" s="11"/>
      <c r="CM70" s="105"/>
      <c r="CN70" s="11"/>
    </row>
    <row r="71" spans="1:93" x14ac:dyDescent="0.25">
      <c r="A71" s="235" t="s">
        <v>347</v>
      </c>
      <c r="B71" s="249">
        <f>66.17</f>
        <v>66.17</v>
      </c>
      <c r="C71" s="11">
        <v>0</v>
      </c>
      <c r="D71" s="11">
        <v>10.66</v>
      </c>
      <c r="E71" s="11">
        <v>0</v>
      </c>
      <c r="F71" s="11">
        <v>0</v>
      </c>
      <c r="G71" s="11">
        <v>0</v>
      </c>
      <c r="H71" s="11">
        <v>10.66</v>
      </c>
      <c r="I71" s="11">
        <v>0</v>
      </c>
      <c r="J71" s="11">
        <v>0</v>
      </c>
      <c r="K71" s="11">
        <v>0.1135</v>
      </c>
      <c r="L71" s="11">
        <v>0</v>
      </c>
      <c r="M71" s="11">
        <v>8.5209999999999994E-2</v>
      </c>
      <c r="N71" s="11">
        <v>0.1135</v>
      </c>
      <c r="O71" s="11">
        <v>0</v>
      </c>
      <c r="P71" s="11">
        <v>8.5209999999999994E-2</v>
      </c>
      <c r="Q71" s="30">
        <v>42736</v>
      </c>
      <c r="R71" s="13" t="s">
        <v>20</v>
      </c>
      <c r="S71" s="13" t="s">
        <v>20</v>
      </c>
      <c r="T71" s="13" t="s">
        <v>20</v>
      </c>
      <c r="U71" s="13" t="s">
        <v>20</v>
      </c>
      <c r="V71" s="13" t="s">
        <v>20</v>
      </c>
      <c r="W71" s="13" t="s">
        <v>20</v>
      </c>
      <c r="X71" s="13" t="s">
        <v>20</v>
      </c>
      <c r="Y71" s="13" t="s">
        <v>20</v>
      </c>
      <c r="Z71" s="13" t="s">
        <v>20</v>
      </c>
      <c r="AA71" s="13" t="s">
        <v>20</v>
      </c>
      <c r="AB71" s="13" t="s">
        <v>22</v>
      </c>
      <c r="AC71" s="13" t="s">
        <v>22</v>
      </c>
      <c r="AD71" s="13" t="s">
        <v>22</v>
      </c>
      <c r="AE71" s="13" t="s">
        <v>22</v>
      </c>
      <c r="AF71" s="13" t="s">
        <v>22</v>
      </c>
      <c r="AG71" s="13" t="s">
        <v>22</v>
      </c>
      <c r="AH71" s="13" t="s">
        <v>22</v>
      </c>
      <c r="AI71" s="13" t="s">
        <v>22</v>
      </c>
      <c r="AJ71" s="13" t="s">
        <v>20</v>
      </c>
      <c r="AK71" s="13" t="s">
        <v>20</v>
      </c>
      <c r="AL71" s="13" t="s">
        <v>20</v>
      </c>
      <c r="AM71" s="13" t="s">
        <v>20</v>
      </c>
      <c r="AN71" s="13" t="s">
        <v>20</v>
      </c>
      <c r="AO71" s="161" t="s">
        <v>20</v>
      </c>
      <c r="AP71" s="13" t="s">
        <v>20</v>
      </c>
      <c r="AQ71" s="13" t="s">
        <v>20</v>
      </c>
      <c r="AR71" s="13" t="s">
        <v>20</v>
      </c>
      <c r="AS71" s="13" t="s">
        <v>20</v>
      </c>
      <c r="AT71" s="13" t="s">
        <v>20</v>
      </c>
      <c r="AU71" s="13" t="s">
        <v>20</v>
      </c>
      <c r="AV71" s="13" t="s">
        <v>20</v>
      </c>
      <c r="AW71" s="13" t="s">
        <v>20</v>
      </c>
      <c r="AX71" s="13" t="s">
        <v>20</v>
      </c>
      <c r="AY71" s="13" t="s">
        <v>20</v>
      </c>
      <c r="AZ71" s="13" t="s">
        <v>22</v>
      </c>
      <c r="BA71" s="13" t="s">
        <v>22</v>
      </c>
      <c r="BB71" s="13" t="s">
        <v>22</v>
      </c>
      <c r="BC71" s="13" t="s">
        <v>22</v>
      </c>
      <c r="BD71" s="13" t="s">
        <v>22</v>
      </c>
      <c r="BE71" s="13" t="s">
        <v>22</v>
      </c>
      <c r="BF71" s="13" t="s">
        <v>22</v>
      </c>
      <c r="BG71" s="13" t="s">
        <v>22</v>
      </c>
      <c r="BH71" s="13" t="s">
        <v>20</v>
      </c>
      <c r="BI71" s="13" t="s">
        <v>20</v>
      </c>
      <c r="BJ71" s="13" t="s">
        <v>20</v>
      </c>
      <c r="BK71" s="13" t="s">
        <v>20</v>
      </c>
      <c r="BL71" s="13" t="s">
        <v>20</v>
      </c>
      <c r="BM71" s="13" t="s">
        <v>20</v>
      </c>
      <c r="BN71" s="13">
        <v>1</v>
      </c>
      <c r="BO71" s="13">
        <v>1</v>
      </c>
      <c r="BP71" s="13">
        <v>1</v>
      </c>
      <c r="BQ71" s="13">
        <v>1</v>
      </c>
      <c r="BR71" s="13">
        <v>1</v>
      </c>
      <c r="BS71" s="13">
        <v>1</v>
      </c>
      <c r="BT71" s="13">
        <v>1</v>
      </c>
      <c r="BU71" s="13">
        <v>1</v>
      </c>
      <c r="BV71" s="13">
        <v>1</v>
      </c>
      <c r="BW71" s="13">
        <v>1</v>
      </c>
      <c r="BX71" s="13">
        <v>1</v>
      </c>
      <c r="BY71" s="13">
        <v>1</v>
      </c>
      <c r="BZ71" s="109">
        <f t="shared" si="11"/>
        <v>12</v>
      </c>
      <c r="CA71" s="1" t="s">
        <v>208</v>
      </c>
      <c r="CB71" s="21">
        <v>4000</v>
      </c>
      <c r="CC71" s="21" t="s">
        <v>15</v>
      </c>
      <c r="CD71" s="20" t="s">
        <v>39</v>
      </c>
      <c r="CE71" s="11"/>
      <c r="CF71" s="11"/>
      <c r="CG71" s="11"/>
      <c r="CH71" s="105"/>
      <c r="CI71" s="11"/>
      <c r="CJ71" s="11"/>
      <c r="CK71" s="11"/>
      <c r="CL71" s="11"/>
      <c r="CM71" s="105"/>
      <c r="CN71" s="11"/>
    </row>
    <row r="72" spans="1:93" x14ac:dyDescent="0.25">
      <c r="A72" s="235" t="s">
        <v>362</v>
      </c>
      <c r="B72" s="249">
        <v>66.17</v>
      </c>
      <c r="C72" s="11">
        <v>10.66</v>
      </c>
      <c r="D72" s="11">
        <v>0</v>
      </c>
      <c r="E72" s="11">
        <v>0</v>
      </c>
      <c r="F72" s="11">
        <v>0</v>
      </c>
      <c r="G72" s="11">
        <v>10.66</v>
      </c>
      <c r="H72" s="11">
        <v>0</v>
      </c>
      <c r="I72" s="11">
        <v>0</v>
      </c>
      <c r="J72" s="11">
        <v>0</v>
      </c>
      <c r="K72" s="11">
        <v>0</v>
      </c>
      <c r="L72" s="11">
        <v>0</v>
      </c>
      <c r="M72" s="11">
        <v>0</v>
      </c>
      <c r="N72" s="11">
        <v>0</v>
      </c>
      <c r="O72" s="11">
        <v>0</v>
      </c>
      <c r="P72" s="11">
        <v>0</v>
      </c>
      <c r="Q72" s="30">
        <v>42736</v>
      </c>
      <c r="R72" s="13" t="s">
        <v>22</v>
      </c>
      <c r="S72" s="13" t="s">
        <v>22</v>
      </c>
      <c r="T72" s="13" t="s">
        <v>22</v>
      </c>
      <c r="U72" s="13" t="s">
        <v>22</v>
      </c>
      <c r="V72" s="13" t="s">
        <v>22</v>
      </c>
      <c r="W72" s="13" t="s">
        <v>22</v>
      </c>
      <c r="X72" s="13" t="s">
        <v>22</v>
      </c>
      <c r="Y72" s="13" t="s">
        <v>22</v>
      </c>
      <c r="Z72" s="13" t="s">
        <v>22</v>
      </c>
      <c r="AA72" s="13" t="s">
        <v>22</v>
      </c>
      <c r="AB72" s="13" t="s">
        <v>22</v>
      </c>
      <c r="AC72" s="13" t="s">
        <v>22</v>
      </c>
      <c r="AD72" s="13" t="s">
        <v>22</v>
      </c>
      <c r="AE72" s="13" t="s">
        <v>22</v>
      </c>
      <c r="AF72" s="13" t="s">
        <v>22</v>
      </c>
      <c r="AG72" s="13" t="s">
        <v>22</v>
      </c>
      <c r="AH72" s="13" t="s">
        <v>22</v>
      </c>
      <c r="AI72" s="13" t="s">
        <v>22</v>
      </c>
      <c r="AJ72" s="13" t="s">
        <v>22</v>
      </c>
      <c r="AK72" s="13" t="s">
        <v>22</v>
      </c>
      <c r="AL72" s="13" t="s">
        <v>22</v>
      </c>
      <c r="AM72" s="13" t="s">
        <v>22</v>
      </c>
      <c r="AN72" s="13" t="s">
        <v>22</v>
      </c>
      <c r="AO72" s="161" t="s">
        <v>22</v>
      </c>
      <c r="AP72" s="13" t="s">
        <v>22</v>
      </c>
      <c r="AQ72" s="13" t="s">
        <v>22</v>
      </c>
      <c r="AR72" s="13" t="s">
        <v>22</v>
      </c>
      <c r="AS72" s="13" t="s">
        <v>22</v>
      </c>
      <c r="AT72" s="13" t="s">
        <v>22</v>
      </c>
      <c r="AU72" s="13" t="s">
        <v>22</v>
      </c>
      <c r="AV72" s="13" t="s">
        <v>22</v>
      </c>
      <c r="AW72" s="13" t="s">
        <v>22</v>
      </c>
      <c r="AX72" s="13" t="s">
        <v>22</v>
      </c>
      <c r="AY72" s="13" t="s">
        <v>22</v>
      </c>
      <c r="AZ72" s="13" t="s">
        <v>22</v>
      </c>
      <c r="BA72" s="13" t="s">
        <v>22</v>
      </c>
      <c r="BB72" s="13" t="s">
        <v>22</v>
      </c>
      <c r="BC72" s="13" t="s">
        <v>22</v>
      </c>
      <c r="BD72" s="13" t="s">
        <v>22</v>
      </c>
      <c r="BE72" s="13" t="s">
        <v>22</v>
      </c>
      <c r="BF72" s="13" t="s">
        <v>22</v>
      </c>
      <c r="BG72" s="13" t="s">
        <v>22</v>
      </c>
      <c r="BH72" s="13" t="s">
        <v>22</v>
      </c>
      <c r="BI72" s="13" t="s">
        <v>22</v>
      </c>
      <c r="BJ72" s="13" t="s">
        <v>22</v>
      </c>
      <c r="BK72" s="13" t="s">
        <v>22</v>
      </c>
      <c r="BL72" s="13" t="s">
        <v>22</v>
      </c>
      <c r="BM72" s="13" t="s">
        <v>22</v>
      </c>
      <c r="BN72" s="13">
        <v>1</v>
      </c>
      <c r="BO72" s="13">
        <v>1</v>
      </c>
      <c r="BP72" s="13">
        <v>1</v>
      </c>
      <c r="BQ72" s="13">
        <v>1</v>
      </c>
      <c r="BR72" s="13">
        <v>1</v>
      </c>
      <c r="BS72" s="13">
        <v>1</v>
      </c>
      <c r="BT72" s="13">
        <v>1</v>
      </c>
      <c r="BU72" s="13">
        <v>1</v>
      </c>
      <c r="BV72" s="13">
        <v>1</v>
      </c>
      <c r="BW72" s="13">
        <v>1</v>
      </c>
      <c r="BX72" s="13">
        <v>1</v>
      </c>
      <c r="BY72" s="13">
        <v>1</v>
      </c>
      <c r="BZ72" s="109">
        <f t="shared" ref="BZ72" si="14">+SUM(BN72:BY72)</f>
        <v>12</v>
      </c>
      <c r="CA72" s="1" t="s">
        <v>208</v>
      </c>
      <c r="CB72" s="21">
        <v>4000</v>
      </c>
      <c r="CC72" s="21" t="s">
        <v>15</v>
      </c>
      <c r="CD72" s="20" t="s">
        <v>37</v>
      </c>
      <c r="CE72" s="11">
        <v>9.7890000000000005E-2</v>
      </c>
      <c r="CF72" s="11"/>
      <c r="CG72" s="11"/>
      <c r="CH72" s="105"/>
      <c r="CI72" s="11"/>
      <c r="CJ72" s="11"/>
      <c r="CK72" s="11"/>
      <c r="CL72" s="11"/>
      <c r="CM72" s="105"/>
      <c r="CN72" s="11"/>
    </row>
    <row r="73" spans="1:93" x14ac:dyDescent="0.25">
      <c r="A73" s="235" t="s">
        <v>220</v>
      </c>
      <c r="B73" s="249">
        <v>24.55</v>
      </c>
      <c r="C73" s="11">
        <v>7.58</v>
      </c>
      <c r="D73" s="11">
        <v>0</v>
      </c>
      <c r="E73" s="11">
        <v>0</v>
      </c>
      <c r="F73" s="11">
        <v>0</v>
      </c>
      <c r="G73" s="11">
        <v>7.58</v>
      </c>
      <c r="H73" s="11">
        <v>0</v>
      </c>
      <c r="I73" s="11">
        <v>0</v>
      </c>
      <c r="J73" s="11">
        <v>0</v>
      </c>
      <c r="K73" s="11">
        <f>0.2607+0.0016</f>
        <v>0.26229999999999998</v>
      </c>
      <c r="L73" s="11">
        <v>9.0499999999999997E-2</v>
      </c>
      <c r="M73" s="11">
        <f>0.0016+0.0905</f>
        <v>9.2100000000000001E-2</v>
      </c>
      <c r="N73" s="11">
        <v>0</v>
      </c>
      <c r="O73" s="11">
        <v>0</v>
      </c>
      <c r="P73" s="11">
        <f>0.0016+0.1021</f>
        <v>0.1037</v>
      </c>
      <c r="Q73" s="30">
        <v>42736</v>
      </c>
      <c r="R73" s="13" t="s">
        <v>22</v>
      </c>
      <c r="S73" s="13" t="s">
        <v>22</v>
      </c>
      <c r="T73" s="13" t="s">
        <v>22</v>
      </c>
      <c r="U73" s="13" t="s">
        <v>20</v>
      </c>
      <c r="V73" s="13" t="s">
        <v>20</v>
      </c>
      <c r="W73" s="13" t="s">
        <v>20</v>
      </c>
      <c r="X73" s="13" t="s">
        <v>22</v>
      </c>
      <c r="Y73" s="13" t="s">
        <v>22</v>
      </c>
      <c r="Z73" s="13" t="s">
        <v>22</v>
      </c>
      <c r="AA73" s="13" t="s">
        <v>22</v>
      </c>
      <c r="AB73" s="13" t="s">
        <v>22</v>
      </c>
      <c r="AC73" s="13" t="s">
        <v>22</v>
      </c>
      <c r="AD73" s="13" t="s">
        <v>22</v>
      </c>
      <c r="AE73" s="13" t="s">
        <v>22</v>
      </c>
      <c r="AF73" s="13" t="s">
        <v>22</v>
      </c>
      <c r="AG73" s="13" t="s">
        <v>22</v>
      </c>
      <c r="AH73" s="13" t="s">
        <v>22</v>
      </c>
      <c r="AI73" s="13" t="s">
        <v>22</v>
      </c>
      <c r="AJ73" s="13" t="s">
        <v>22</v>
      </c>
      <c r="AK73" s="13" t="s">
        <v>22</v>
      </c>
      <c r="AL73" s="13" t="s">
        <v>22</v>
      </c>
      <c r="AM73" s="13" t="s">
        <v>22</v>
      </c>
      <c r="AN73" s="13" t="s">
        <v>22</v>
      </c>
      <c r="AO73" s="161" t="s">
        <v>22</v>
      </c>
      <c r="AP73" s="13" t="s">
        <v>22</v>
      </c>
      <c r="AQ73" s="13" t="s">
        <v>22</v>
      </c>
      <c r="AR73" s="13" t="s">
        <v>22</v>
      </c>
      <c r="AS73" s="13" t="s">
        <v>22</v>
      </c>
      <c r="AT73" s="13" t="s">
        <v>22</v>
      </c>
      <c r="AU73" s="13" t="s">
        <v>22</v>
      </c>
      <c r="AV73" s="13" t="s">
        <v>22</v>
      </c>
      <c r="AW73" s="13" t="s">
        <v>22</v>
      </c>
      <c r="AX73" s="13" t="s">
        <v>22</v>
      </c>
      <c r="AY73" s="13" t="s">
        <v>22</v>
      </c>
      <c r="AZ73" s="13" t="s">
        <v>22</v>
      </c>
      <c r="BA73" s="13" t="s">
        <v>22</v>
      </c>
      <c r="BB73" s="13" t="s">
        <v>22</v>
      </c>
      <c r="BC73" s="13" t="s">
        <v>22</v>
      </c>
      <c r="BD73" s="13" t="s">
        <v>22</v>
      </c>
      <c r="BE73" s="13" t="s">
        <v>22</v>
      </c>
      <c r="BF73" s="13" t="s">
        <v>22</v>
      </c>
      <c r="BG73" s="13" t="s">
        <v>22</v>
      </c>
      <c r="BH73" s="13" t="s">
        <v>22</v>
      </c>
      <c r="BI73" s="13" t="s">
        <v>22</v>
      </c>
      <c r="BJ73" s="13" t="s">
        <v>22</v>
      </c>
      <c r="BK73" s="13" t="s">
        <v>22</v>
      </c>
      <c r="BL73" s="13" t="s">
        <v>22</v>
      </c>
      <c r="BM73" s="13" t="s">
        <v>22</v>
      </c>
      <c r="BN73" s="13">
        <v>0</v>
      </c>
      <c r="BO73" s="13">
        <v>0</v>
      </c>
      <c r="BP73" s="13">
        <v>0</v>
      </c>
      <c r="BQ73" s="13">
        <v>0</v>
      </c>
      <c r="BR73" s="13">
        <v>0</v>
      </c>
      <c r="BS73" s="13">
        <v>1</v>
      </c>
      <c r="BT73" s="13">
        <v>1</v>
      </c>
      <c r="BU73" s="13">
        <v>1</v>
      </c>
      <c r="BV73" s="13">
        <v>1</v>
      </c>
      <c r="BW73" s="13">
        <v>0</v>
      </c>
      <c r="BX73" s="13">
        <v>0</v>
      </c>
      <c r="BY73" s="13">
        <v>0</v>
      </c>
      <c r="BZ73" s="109">
        <f t="shared" si="11"/>
        <v>4</v>
      </c>
      <c r="CA73" s="1" t="s">
        <v>221</v>
      </c>
      <c r="CB73" s="21">
        <v>21</v>
      </c>
      <c r="CC73" s="21">
        <v>300</v>
      </c>
      <c r="CD73" s="20" t="s">
        <v>39</v>
      </c>
      <c r="CE73" s="11"/>
      <c r="CF73" s="11"/>
      <c r="CG73" s="11"/>
      <c r="CH73" s="105"/>
      <c r="CI73" s="11"/>
      <c r="CJ73" s="11"/>
      <c r="CK73" s="11"/>
      <c r="CL73" s="11"/>
      <c r="CM73" s="105"/>
      <c r="CN73" s="11"/>
    </row>
    <row r="74" spans="1:93" x14ac:dyDescent="0.25">
      <c r="A74" s="235" t="s">
        <v>149</v>
      </c>
      <c r="B74" s="249">
        <v>107.95</v>
      </c>
      <c r="C74" s="11">
        <v>4.0199999999999996</v>
      </c>
      <c r="D74" s="11">
        <v>0</v>
      </c>
      <c r="E74" s="11">
        <v>0</v>
      </c>
      <c r="F74" s="11">
        <v>0</v>
      </c>
      <c r="G74" s="11">
        <v>4.0199999999999996</v>
      </c>
      <c r="H74" s="11">
        <v>0</v>
      </c>
      <c r="I74" s="11">
        <v>0</v>
      </c>
      <c r="J74" s="11">
        <v>0</v>
      </c>
      <c r="K74" s="11">
        <f>0.168+0.0016</f>
        <v>0.1696</v>
      </c>
      <c r="L74" s="11">
        <f>0.1341+0.0016</f>
        <v>0.13569999999999999</v>
      </c>
      <c r="M74" s="11">
        <f>0.1073+0.0016</f>
        <v>0.10890000000000001</v>
      </c>
      <c r="N74" s="11">
        <v>0</v>
      </c>
      <c r="O74" s="11">
        <f>0.1078+0.0016</f>
        <v>0.10940000000000001</v>
      </c>
      <c r="P74" s="11">
        <f>0.0855+0.0016</f>
        <v>8.7100000000000011E-2</v>
      </c>
      <c r="Q74" s="30">
        <v>42736</v>
      </c>
      <c r="R74" s="13" t="s">
        <v>21</v>
      </c>
      <c r="S74" s="13" t="s">
        <v>21</v>
      </c>
      <c r="T74" s="13" t="s">
        <v>20</v>
      </c>
      <c r="U74" s="13" t="s">
        <v>20</v>
      </c>
      <c r="V74" s="13" t="s">
        <v>20</v>
      </c>
      <c r="W74" s="13" t="s">
        <v>20</v>
      </c>
      <c r="X74" s="13" t="s">
        <v>20</v>
      </c>
      <c r="Y74" s="13" t="s">
        <v>20</v>
      </c>
      <c r="Z74" s="13" t="s">
        <v>21</v>
      </c>
      <c r="AA74" s="13" t="s">
        <v>21</v>
      </c>
      <c r="AB74" s="13" t="s">
        <v>22</v>
      </c>
      <c r="AC74" s="13" t="s">
        <v>22</v>
      </c>
      <c r="AD74" s="13" t="s">
        <v>22</v>
      </c>
      <c r="AE74" s="13" t="s">
        <v>22</v>
      </c>
      <c r="AF74" s="13" t="s">
        <v>22</v>
      </c>
      <c r="AG74" s="13" t="s">
        <v>22</v>
      </c>
      <c r="AH74" s="13" t="s">
        <v>22</v>
      </c>
      <c r="AI74" s="13" t="s">
        <v>22</v>
      </c>
      <c r="AJ74" s="13" t="s">
        <v>22</v>
      </c>
      <c r="AK74" s="13" t="s">
        <v>22</v>
      </c>
      <c r="AL74" s="13" t="s">
        <v>22</v>
      </c>
      <c r="AM74" s="13" t="s">
        <v>22</v>
      </c>
      <c r="AN74" s="13" t="s">
        <v>22</v>
      </c>
      <c r="AO74" s="161" t="s">
        <v>22</v>
      </c>
      <c r="AP74" s="162" t="s">
        <v>21</v>
      </c>
      <c r="AQ74" s="13" t="s">
        <v>21</v>
      </c>
      <c r="AR74" s="13" t="s">
        <v>21</v>
      </c>
      <c r="AS74" s="13" t="s">
        <v>21</v>
      </c>
      <c r="AT74" s="13" t="s">
        <v>21</v>
      </c>
      <c r="AU74" s="13" t="s">
        <v>21</v>
      </c>
      <c r="AV74" s="13" t="s">
        <v>21</v>
      </c>
      <c r="AW74" s="13" t="s">
        <v>21</v>
      </c>
      <c r="AX74" s="13" t="s">
        <v>21</v>
      </c>
      <c r="AY74" s="13" t="s">
        <v>21</v>
      </c>
      <c r="AZ74" s="13" t="s">
        <v>22</v>
      </c>
      <c r="BA74" s="13" t="s">
        <v>22</v>
      </c>
      <c r="BB74" s="13" t="s">
        <v>22</v>
      </c>
      <c r="BC74" s="13" t="s">
        <v>22</v>
      </c>
      <c r="BD74" s="13" t="s">
        <v>22</v>
      </c>
      <c r="BE74" s="13" t="s">
        <v>22</v>
      </c>
      <c r="BF74" s="13" t="s">
        <v>22</v>
      </c>
      <c r="BG74" s="13" t="s">
        <v>22</v>
      </c>
      <c r="BH74" s="13" t="s">
        <v>22</v>
      </c>
      <c r="BI74" s="13" t="s">
        <v>22</v>
      </c>
      <c r="BJ74" s="13" t="s">
        <v>22</v>
      </c>
      <c r="BK74" s="13" t="s">
        <v>22</v>
      </c>
      <c r="BL74" s="13" t="s">
        <v>22</v>
      </c>
      <c r="BM74" s="13" t="s">
        <v>22</v>
      </c>
      <c r="BN74" s="13">
        <v>0</v>
      </c>
      <c r="BO74" s="13">
        <v>0</v>
      </c>
      <c r="BP74" s="13">
        <v>0</v>
      </c>
      <c r="BQ74" s="13">
        <v>0</v>
      </c>
      <c r="BR74" s="13">
        <v>0</v>
      </c>
      <c r="BS74" s="13">
        <v>0</v>
      </c>
      <c r="BT74" s="13">
        <v>1</v>
      </c>
      <c r="BU74" s="13">
        <v>1</v>
      </c>
      <c r="BV74" s="13">
        <v>1</v>
      </c>
      <c r="BW74" s="13">
        <v>0</v>
      </c>
      <c r="BX74" s="13">
        <v>0</v>
      </c>
      <c r="BY74" s="13">
        <v>0</v>
      </c>
      <c r="BZ74" s="109">
        <f t="shared" si="11"/>
        <v>3</v>
      </c>
      <c r="CA74" s="1" t="s">
        <v>31</v>
      </c>
      <c r="CB74" s="21">
        <v>1000</v>
      </c>
      <c r="CC74" s="21" t="s">
        <v>15</v>
      </c>
      <c r="CD74" s="20" t="s">
        <v>39</v>
      </c>
      <c r="CE74" s="11"/>
      <c r="CF74" s="11"/>
      <c r="CG74" s="11"/>
      <c r="CH74" s="105"/>
      <c r="CI74" s="11"/>
      <c r="CJ74" s="11"/>
      <c r="CK74" s="11"/>
      <c r="CL74" s="11"/>
      <c r="CM74" s="105"/>
      <c r="CN74" s="11"/>
    </row>
    <row r="75" spans="1:93" x14ac:dyDescent="0.25">
      <c r="A75" s="235" t="s">
        <v>159</v>
      </c>
      <c r="B75" s="249">
        <v>107.95</v>
      </c>
      <c r="C75" s="11">
        <v>2.85</v>
      </c>
      <c r="D75" s="11">
        <v>6.98</v>
      </c>
      <c r="E75" s="11">
        <v>0</v>
      </c>
      <c r="F75" s="11">
        <v>0</v>
      </c>
      <c r="G75" s="11">
        <v>2.85</v>
      </c>
      <c r="H75" s="11">
        <v>0</v>
      </c>
      <c r="I75" s="11">
        <v>0</v>
      </c>
      <c r="J75" s="11">
        <v>0</v>
      </c>
      <c r="K75" s="11">
        <f>0.1949+0.0016</f>
        <v>0.19649999999999998</v>
      </c>
      <c r="L75" s="11">
        <f>0.1342+0.0016</f>
        <v>0.1358</v>
      </c>
      <c r="M75" s="11">
        <f>0.1033+0.0016</f>
        <v>0.10490000000000001</v>
      </c>
      <c r="N75" s="11">
        <v>0</v>
      </c>
      <c r="O75" s="11">
        <f>0.1028+0.0016</f>
        <v>0.10440000000000001</v>
      </c>
      <c r="P75" s="11">
        <f>0.0814+0.0016</f>
        <v>8.3000000000000004E-2</v>
      </c>
      <c r="Q75" s="30">
        <v>42736</v>
      </c>
      <c r="R75" s="13" t="s">
        <v>21</v>
      </c>
      <c r="S75" s="13" t="s">
        <v>21</v>
      </c>
      <c r="T75" s="13" t="s">
        <v>20</v>
      </c>
      <c r="U75" s="13" t="s">
        <v>20</v>
      </c>
      <c r="V75" s="13" t="s">
        <v>20</v>
      </c>
      <c r="W75" s="13" t="s">
        <v>20</v>
      </c>
      <c r="X75" s="13" t="s">
        <v>20</v>
      </c>
      <c r="Y75" s="13" t="s">
        <v>20</v>
      </c>
      <c r="Z75" s="13" t="s">
        <v>21</v>
      </c>
      <c r="AA75" s="13" t="s">
        <v>21</v>
      </c>
      <c r="AB75" s="13" t="s">
        <v>22</v>
      </c>
      <c r="AC75" s="13" t="s">
        <v>22</v>
      </c>
      <c r="AD75" s="13" t="s">
        <v>22</v>
      </c>
      <c r="AE75" s="13" t="s">
        <v>22</v>
      </c>
      <c r="AF75" s="13" t="s">
        <v>22</v>
      </c>
      <c r="AG75" s="13" t="s">
        <v>22</v>
      </c>
      <c r="AH75" s="13" t="s">
        <v>22</v>
      </c>
      <c r="AI75" s="13" t="s">
        <v>22</v>
      </c>
      <c r="AJ75" s="13" t="s">
        <v>22</v>
      </c>
      <c r="AK75" s="13" t="s">
        <v>22</v>
      </c>
      <c r="AL75" s="13" t="s">
        <v>22</v>
      </c>
      <c r="AM75" s="13" t="s">
        <v>22</v>
      </c>
      <c r="AN75" s="13" t="s">
        <v>22</v>
      </c>
      <c r="AO75" s="161" t="s">
        <v>22</v>
      </c>
      <c r="AP75" s="162" t="s">
        <v>21</v>
      </c>
      <c r="AQ75" s="13" t="s">
        <v>21</v>
      </c>
      <c r="AR75" s="13" t="s">
        <v>21</v>
      </c>
      <c r="AS75" s="13" t="s">
        <v>21</v>
      </c>
      <c r="AT75" s="13" t="s">
        <v>21</v>
      </c>
      <c r="AU75" s="13" t="s">
        <v>21</v>
      </c>
      <c r="AV75" s="13" t="s">
        <v>21</v>
      </c>
      <c r="AW75" s="13" t="s">
        <v>21</v>
      </c>
      <c r="AX75" s="13" t="s">
        <v>21</v>
      </c>
      <c r="AY75" s="13" t="s">
        <v>21</v>
      </c>
      <c r="AZ75" s="13" t="s">
        <v>22</v>
      </c>
      <c r="BA75" s="13" t="s">
        <v>22</v>
      </c>
      <c r="BB75" s="13" t="s">
        <v>22</v>
      </c>
      <c r="BC75" s="13" t="s">
        <v>22</v>
      </c>
      <c r="BD75" s="13" t="s">
        <v>22</v>
      </c>
      <c r="BE75" s="13" t="s">
        <v>22</v>
      </c>
      <c r="BF75" s="13" t="s">
        <v>22</v>
      </c>
      <c r="BG75" s="13" t="s">
        <v>22</v>
      </c>
      <c r="BH75" s="13" t="s">
        <v>22</v>
      </c>
      <c r="BI75" s="13" t="s">
        <v>22</v>
      </c>
      <c r="BJ75" s="13" t="s">
        <v>22</v>
      </c>
      <c r="BK75" s="13" t="s">
        <v>22</v>
      </c>
      <c r="BL75" s="13" t="s">
        <v>22</v>
      </c>
      <c r="BM75" s="13" t="s">
        <v>22</v>
      </c>
      <c r="BN75" s="13">
        <v>0</v>
      </c>
      <c r="BO75" s="13">
        <v>0</v>
      </c>
      <c r="BP75" s="13">
        <v>0</v>
      </c>
      <c r="BQ75" s="13">
        <v>0</v>
      </c>
      <c r="BR75" s="13">
        <v>0</v>
      </c>
      <c r="BS75" s="13">
        <v>0</v>
      </c>
      <c r="BT75" s="13">
        <v>1</v>
      </c>
      <c r="BU75" s="13">
        <v>1</v>
      </c>
      <c r="BV75" s="13">
        <v>1</v>
      </c>
      <c r="BW75" s="13">
        <v>0</v>
      </c>
      <c r="BX75" s="13">
        <v>0</v>
      </c>
      <c r="BY75" s="13">
        <v>0</v>
      </c>
      <c r="BZ75" s="109">
        <f t="shared" si="11"/>
        <v>3</v>
      </c>
      <c r="CA75" s="1" t="s">
        <v>31</v>
      </c>
      <c r="CB75" s="21">
        <v>500</v>
      </c>
      <c r="CC75" s="21">
        <v>1000</v>
      </c>
      <c r="CD75" s="20" t="s">
        <v>39</v>
      </c>
      <c r="CE75" s="11"/>
      <c r="CF75" s="11"/>
      <c r="CG75" s="11"/>
      <c r="CH75" s="105"/>
      <c r="CI75" s="11"/>
      <c r="CJ75" s="11"/>
      <c r="CK75" s="11"/>
      <c r="CL75" s="11"/>
      <c r="CM75" s="105"/>
      <c r="CN75" s="11"/>
    </row>
    <row r="76" spans="1:93" x14ac:dyDescent="0.25">
      <c r="A76" s="235" t="s">
        <v>160</v>
      </c>
      <c r="B76" s="249">
        <v>107.95</v>
      </c>
      <c r="C76" s="11">
        <v>3.8</v>
      </c>
      <c r="D76" s="11">
        <v>7.65</v>
      </c>
      <c r="E76" s="11">
        <v>0</v>
      </c>
      <c r="F76" s="11">
        <v>0</v>
      </c>
      <c r="G76" s="11">
        <v>3.8</v>
      </c>
      <c r="H76" s="11">
        <v>0</v>
      </c>
      <c r="I76" s="11">
        <v>0</v>
      </c>
      <c r="J76" s="11">
        <v>0</v>
      </c>
      <c r="K76" s="11">
        <f>0.2006+0.0016</f>
        <v>0.20219999999999999</v>
      </c>
      <c r="L76" s="11">
        <f>0.1371+0.0016</f>
        <v>0.13869999999999999</v>
      </c>
      <c r="M76" s="11">
        <f>0.109+0.0016</f>
        <v>0.1106</v>
      </c>
      <c r="N76" s="11">
        <f>0.1043+0.0016</f>
        <v>0.10590000000000001</v>
      </c>
      <c r="O76" s="11">
        <v>0</v>
      </c>
      <c r="P76" s="11">
        <f>0.0828+0.0016</f>
        <v>8.4400000000000003E-2</v>
      </c>
      <c r="Q76" s="30">
        <v>42736</v>
      </c>
      <c r="R76" s="13" t="s">
        <v>21</v>
      </c>
      <c r="S76" s="13" t="s">
        <v>21</v>
      </c>
      <c r="T76" s="13" t="s">
        <v>20</v>
      </c>
      <c r="U76" s="13" t="s">
        <v>20</v>
      </c>
      <c r="V76" s="13" t="s">
        <v>20</v>
      </c>
      <c r="W76" s="13" t="s">
        <v>20</v>
      </c>
      <c r="X76" s="13" t="s">
        <v>20</v>
      </c>
      <c r="Y76" s="13" t="s">
        <v>20</v>
      </c>
      <c r="Z76" s="13" t="s">
        <v>21</v>
      </c>
      <c r="AA76" s="13" t="s">
        <v>21</v>
      </c>
      <c r="AB76" s="13" t="s">
        <v>22</v>
      </c>
      <c r="AC76" s="13" t="s">
        <v>22</v>
      </c>
      <c r="AD76" s="13" t="s">
        <v>22</v>
      </c>
      <c r="AE76" s="13" t="s">
        <v>22</v>
      </c>
      <c r="AF76" s="13" t="s">
        <v>22</v>
      </c>
      <c r="AG76" s="13" t="s">
        <v>22</v>
      </c>
      <c r="AH76" s="13" t="s">
        <v>22</v>
      </c>
      <c r="AI76" s="13" t="s">
        <v>22</v>
      </c>
      <c r="AJ76" s="13" t="s">
        <v>22</v>
      </c>
      <c r="AK76" s="13" t="s">
        <v>22</v>
      </c>
      <c r="AL76" s="13" t="s">
        <v>22</v>
      </c>
      <c r="AM76" s="13" t="s">
        <v>22</v>
      </c>
      <c r="AN76" s="13" t="s">
        <v>22</v>
      </c>
      <c r="AO76" s="161" t="s">
        <v>22</v>
      </c>
      <c r="AP76" s="162" t="s">
        <v>21</v>
      </c>
      <c r="AQ76" s="13" t="s">
        <v>21</v>
      </c>
      <c r="AR76" s="13" t="s">
        <v>21</v>
      </c>
      <c r="AS76" s="13" t="s">
        <v>21</v>
      </c>
      <c r="AT76" s="13" t="s">
        <v>21</v>
      </c>
      <c r="AU76" s="13" t="s">
        <v>21</v>
      </c>
      <c r="AV76" s="13" t="s">
        <v>21</v>
      </c>
      <c r="AW76" s="13" t="s">
        <v>21</v>
      </c>
      <c r="AX76" s="13" t="s">
        <v>21</v>
      </c>
      <c r="AY76" s="13" t="s">
        <v>21</v>
      </c>
      <c r="AZ76" s="13" t="s">
        <v>22</v>
      </c>
      <c r="BA76" s="13" t="s">
        <v>22</v>
      </c>
      <c r="BB76" s="13" t="s">
        <v>22</v>
      </c>
      <c r="BC76" s="13" t="s">
        <v>22</v>
      </c>
      <c r="BD76" s="13" t="s">
        <v>22</v>
      </c>
      <c r="BE76" s="13" t="s">
        <v>22</v>
      </c>
      <c r="BF76" s="13" t="s">
        <v>22</v>
      </c>
      <c r="BG76" s="13" t="s">
        <v>22</v>
      </c>
      <c r="BH76" s="13" t="s">
        <v>22</v>
      </c>
      <c r="BI76" s="13" t="s">
        <v>22</v>
      </c>
      <c r="BJ76" s="13" t="s">
        <v>22</v>
      </c>
      <c r="BK76" s="13" t="s">
        <v>22</v>
      </c>
      <c r="BL76" s="13" t="s">
        <v>22</v>
      </c>
      <c r="BM76" s="13" t="s">
        <v>22</v>
      </c>
      <c r="BN76" s="13">
        <v>0</v>
      </c>
      <c r="BO76" s="13">
        <v>0</v>
      </c>
      <c r="BP76" s="13">
        <v>0</v>
      </c>
      <c r="BQ76" s="13">
        <v>0</v>
      </c>
      <c r="BR76" s="13">
        <v>0</v>
      </c>
      <c r="BS76" s="13">
        <v>0</v>
      </c>
      <c r="BT76" s="13">
        <v>1</v>
      </c>
      <c r="BU76" s="13">
        <v>1</v>
      </c>
      <c r="BV76" s="13">
        <v>1</v>
      </c>
      <c r="BW76" s="13">
        <v>0</v>
      </c>
      <c r="BX76" s="13">
        <v>0</v>
      </c>
      <c r="BY76" s="13">
        <v>0</v>
      </c>
      <c r="BZ76" s="109">
        <f t="shared" si="11"/>
        <v>3</v>
      </c>
      <c r="CA76" s="1" t="s">
        <v>32</v>
      </c>
      <c r="CB76" s="21">
        <v>300</v>
      </c>
      <c r="CC76" s="21">
        <v>500</v>
      </c>
      <c r="CD76" s="20" t="s">
        <v>39</v>
      </c>
      <c r="CE76" s="11"/>
      <c r="CF76" s="11"/>
      <c r="CG76" s="11"/>
      <c r="CH76" s="105"/>
      <c r="CI76" s="11"/>
      <c r="CJ76" s="11"/>
      <c r="CK76" s="11"/>
      <c r="CL76" s="11"/>
      <c r="CM76" s="105"/>
      <c r="CN76" s="11"/>
    </row>
    <row r="77" spans="1:93" x14ac:dyDescent="0.25">
      <c r="A77" s="235" t="s">
        <v>150</v>
      </c>
      <c r="B77" s="249">
        <v>82</v>
      </c>
      <c r="C77" s="11">
        <f>12.67+1.1</f>
        <v>13.77</v>
      </c>
      <c r="D77" s="11">
        <v>0</v>
      </c>
      <c r="E77" s="11">
        <v>0</v>
      </c>
      <c r="F77" s="11">
        <v>0</v>
      </c>
      <c r="G77" s="11">
        <f>10.66+1.1</f>
        <v>11.76</v>
      </c>
      <c r="H77" s="11">
        <v>0</v>
      </c>
      <c r="I77" s="11">
        <v>0</v>
      </c>
      <c r="J77" s="11">
        <v>0</v>
      </c>
      <c r="K77" s="11">
        <v>0</v>
      </c>
      <c r="L77" s="11">
        <v>0</v>
      </c>
      <c r="M77" s="11">
        <v>7.9200000000000007E-2</v>
      </c>
      <c r="N77" s="11">
        <v>0</v>
      </c>
      <c r="O77" s="11">
        <v>0</v>
      </c>
      <c r="P77" s="11">
        <v>6.0100000000000001E-2</v>
      </c>
      <c r="Q77" s="30">
        <v>42005</v>
      </c>
      <c r="R77" s="13" t="s">
        <v>22</v>
      </c>
      <c r="S77" s="13" t="s">
        <v>22</v>
      </c>
      <c r="T77" s="13" t="s">
        <v>22</v>
      </c>
      <c r="U77" s="13" t="s">
        <v>22</v>
      </c>
      <c r="V77" s="13" t="s">
        <v>22</v>
      </c>
      <c r="W77" s="13" t="s">
        <v>22</v>
      </c>
      <c r="X77" s="13" t="s">
        <v>22</v>
      </c>
      <c r="Y77" s="13" t="s">
        <v>22</v>
      </c>
      <c r="Z77" s="13" t="s">
        <v>22</v>
      </c>
      <c r="AA77" s="13" t="s">
        <v>22</v>
      </c>
      <c r="AB77" s="13" t="s">
        <v>22</v>
      </c>
      <c r="AC77" s="13" t="s">
        <v>22</v>
      </c>
      <c r="AD77" s="13" t="s">
        <v>22</v>
      </c>
      <c r="AE77" s="13" t="s">
        <v>22</v>
      </c>
      <c r="AF77" s="13" t="s">
        <v>22</v>
      </c>
      <c r="AG77" s="13" t="s">
        <v>22</v>
      </c>
      <c r="AH77" s="13" t="s">
        <v>22</v>
      </c>
      <c r="AI77" s="13" t="s">
        <v>22</v>
      </c>
      <c r="AJ77" s="13" t="s">
        <v>22</v>
      </c>
      <c r="AK77" s="13" t="s">
        <v>22</v>
      </c>
      <c r="AL77" s="13" t="s">
        <v>22</v>
      </c>
      <c r="AM77" s="13" t="s">
        <v>22</v>
      </c>
      <c r="AN77" s="13" t="s">
        <v>22</v>
      </c>
      <c r="AO77" s="161" t="s">
        <v>22</v>
      </c>
      <c r="AP77" s="13" t="s">
        <v>22</v>
      </c>
      <c r="AQ77" s="13" t="s">
        <v>22</v>
      </c>
      <c r="AR77" s="13" t="s">
        <v>22</v>
      </c>
      <c r="AS77" s="13" t="s">
        <v>22</v>
      </c>
      <c r="AT77" s="13" t="s">
        <v>22</v>
      </c>
      <c r="AU77" s="13" t="s">
        <v>22</v>
      </c>
      <c r="AV77" s="13" t="s">
        <v>22</v>
      </c>
      <c r="AW77" s="13" t="s">
        <v>22</v>
      </c>
      <c r="AX77" s="13" t="s">
        <v>22</v>
      </c>
      <c r="AY77" s="13" t="s">
        <v>22</v>
      </c>
      <c r="AZ77" s="13" t="s">
        <v>22</v>
      </c>
      <c r="BA77" s="13" t="s">
        <v>22</v>
      </c>
      <c r="BB77" s="13" t="s">
        <v>22</v>
      </c>
      <c r="BC77" s="13" t="s">
        <v>22</v>
      </c>
      <c r="BD77" s="13" t="s">
        <v>22</v>
      </c>
      <c r="BE77" s="13" t="s">
        <v>22</v>
      </c>
      <c r="BF77" s="13" t="s">
        <v>22</v>
      </c>
      <c r="BG77" s="13" t="s">
        <v>22</v>
      </c>
      <c r="BH77" s="13" t="s">
        <v>22</v>
      </c>
      <c r="BI77" s="13" t="s">
        <v>22</v>
      </c>
      <c r="BJ77" s="13" t="s">
        <v>22</v>
      </c>
      <c r="BK77" s="13" t="s">
        <v>22</v>
      </c>
      <c r="BL77" s="13" t="s">
        <v>22</v>
      </c>
      <c r="BM77" s="13" t="s">
        <v>22</v>
      </c>
      <c r="BN77" s="13">
        <v>0</v>
      </c>
      <c r="BO77" s="13">
        <v>0</v>
      </c>
      <c r="BP77" s="13">
        <v>0</v>
      </c>
      <c r="BQ77" s="13">
        <v>0</v>
      </c>
      <c r="BR77" s="13">
        <v>0</v>
      </c>
      <c r="BS77" s="13">
        <v>1</v>
      </c>
      <c r="BT77" s="13">
        <v>1</v>
      </c>
      <c r="BU77" s="13">
        <v>1</v>
      </c>
      <c r="BV77" s="13">
        <v>1</v>
      </c>
      <c r="BW77" s="13">
        <v>1</v>
      </c>
      <c r="BX77" s="13">
        <v>1</v>
      </c>
      <c r="BY77" s="13">
        <v>0</v>
      </c>
      <c r="BZ77" s="109">
        <f t="shared" si="11"/>
        <v>6</v>
      </c>
      <c r="CA77" s="1" t="s">
        <v>64</v>
      </c>
      <c r="CB77" s="21">
        <v>35</v>
      </c>
      <c r="CC77" s="21">
        <v>499</v>
      </c>
      <c r="CD77" s="20" t="s">
        <v>37</v>
      </c>
      <c r="CE77" s="11">
        <v>7.9200000000000007E-2</v>
      </c>
      <c r="CF77" s="11"/>
      <c r="CG77" s="11"/>
      <c r="CH77" s="105"/>
      <c r="CI77" s="11"/>
      <c r="CJ77" s="11">
        <v>6.0100000000000001E-2</v>
      </c>
      <c r="CK77" s="11"/>
      <c r="CL77" s="11"/>
      <c r="CM77" s="105"/>
      <c r="CN77" s="11"/>
    </row>
    <row r="78" spans="1:93" x14ac:dyDescent="0.25">
      <c r="A78" s="115" t="s">
        <v>17</v>
      </c>
      <c r="B78" s="250">
        <v>1</v>
      </c>
      <c r="C78" s="116">
        <v>1</v>
      </c>
      <c r="D78" s="116">
        <v>1</v>
      </c>
      <c r="E78" s="116">
        <v>1</v>
      </c>
      <c r="F78" s="116">
        <v>1</v>
      </c>
      <c r="G78" s="116">
        <v>1</v>
      </c>
      <c r="H78" s="116">
        <v>1</v>
      </c>
      <c r="I78" s="116">
        <v>1</v>
      </c>
      <c r="J78" s="116">
        <v>1</v>
      </c>
      <c r="K78" s="116">
        <v>1</v>
      </c>
      <c r="L78" s="116">
        <v>1</v>
      </c>
      <c r="M78" s="116">
        <v>1</v>
      </c>
      <c r="N78" s="116">
        <v>1</v>
      </c>
      <c r="O78" s="116">
        <v>1</v>
      </c>
      <c r="P78" s="116">
        <v>1</v>
      </c>
      <c r="Q78" s="113"/>
      <c r="R78" s="117" t="s">
        <v>22</v>
      </c>
      <c r="S78" s="117" t="s">
        <v>22</v>
      </c>
      <c r="T78" s="117" t="s">
        <v>22</v>
      </c>
      <c r="U78" s="117" t="s">
        <v>22</v>
      </c>
      <c r="V78" s="117" t="s">
        <v>22</v>
      </c>
      <c r="W78" s="117" t="s">
        <v>22</v>
      </c>
      <c r="X78" s="117" t="s">
        <v>22</v>
      </c>
      <c r="Y78" s="117" t="s">
        <v>22</v>
      </c>
      <c r="Z78" s="117" t="s">
        <v>22</v>
      </c>
      <c r="AA78" s="117" t="s">
        <v>22</v>
      </c>
      <c r="AB78" s="117" t="s">
        <v>22</v>
      </c>
      <c r="AC78" s="117" t="s">
        <v>22</v>
      </c>
      <c r="AD78" s="117" t="s">
        <v>22</v>
      </c>
      <c r="AE78" s="117" t="s">
        <v>22</v>
      </c>
      <c r="AF78" s="117" t="s">
        <v>22</v>
      </c>
      <c r="AG78" s="117" t="s">
        <v>22</v>
      </c>
      <c r="AH78" s="117" t="s">
        <v>22</v>
      </c>
      <c r="AI78" s="117" t="s">
        <v>22</v>
      </c>
      <c r="AJ78" s="117" t="s">
        <v>22</v>
      </c>
      <c r="AK78" s="117" t="s">
        <v>22</v>
      </c>
      <c r="AL78" s="117" t="s">
        <v>22</v>
      </c>
      <c r="AM78" s="117" t="s">
        <v>22</v>
      </c>
      <c r="AN78" s="117" t="s">
        <v>22</v>
      </c>
      <c r="AO78" s="117" t="s">
        <v>22</v>
      </c>
      <c r="AP78" s="13" t="s">
        <v>22</v>
      </c>
      <c r="AQ78" s="13" t="s">
        <v>22</v>
      </c>
      <c r="AR78" s="13" t="s">
        <v>22</v>
      </c>
      <c r="AS78" s="13" t="s">
        <v>22</v>
      </c>
      <c r="AT78" s="13" t="s">
        <v>22</v>
      </c>
      <c r="AU78" s="13" t="s">
        <v>22</v>
      </c>
      <c r="AV78" s="13" t="s">
        <v>22</v>
      </c>
      <c r="AW78" s="13" t="s">
        <v>22</v>
      </c>
      <c r="AX78" s="13" t="s">
        <v>22</v>
      </c>
      <c r="AY78" s="13" t="s">
        <v>22</v>
      </c>
      <c r="AZ78" s="13" t="s">
        <v>22</v>
      </c>
      <c r="BA78" s="13" t="s">
        <v>22</v>
      </c>
      <c r="BB78" s="13" t="s">
        <v>22</v>
      </c>
      <c r="BC78" s="13" t="s">
        <v>22</v>
      </c>
      <c r="BD78" s="13" t="s">
        <v>22</v>
      </c>
      <c r="BE78" s="13" t="s">
        <v>22</v>
      </c>
      <c r="BF78" s="13" t="s">
        <v>22</v>
      </c>
      <c r="BG78" s="13" t="s">
        <v>22</v>
      </c>
      <c r="BH78" s="13" t="s">
        <v>22</v>
      </c>
      <c r="BI78" s="13" t="s">
        <v>22</v>
      </c>
      <c r="BJ78" s="13" t="s">
        <v>22</v>
      </c>
      <c r="BK78" s="13" t="s">
        <v>22</v>
      </c>
      <c r="BL78" s="13" t="s">
        <v>22</v>
      </c>
      <c r="BM78" s="13" t="s">
        <v>22</v>
      </c>
      <c r="BN78" s="117">
        <v>0</v>
      </c>
      <c r="BO78" s="117">
        <v>0</v>
      </c>
      <c r="BP78" s="117">
        <v>0</v>
      </c>
      <c r="BQ78" s="117">
        <v>0</v>
      </c>
      <c r="BR78" s="117">
        <v>0</v>
      </c>
      <c r="BS78" s="117">
        <v>1</v>
      </c>
      <c r="BT78" s="117">
        <v>1</v>
      </c>
      <c r="BU78" s="117">
        <v>1</v>
      </c>
      <c r="BV78" s="117">
        <v>1</v>
      </c>
      <c r="BW78" s="117">
        <v>1</v>
      </c>
      <c r="BX78" s="117">
        <v>0</v>
      </c>
      <c r="BY78" s="117">
        <v>0</v>
      </c>
      <c r="BZ78" s="118">
        <v>6</v>
      </c>
      <c r="CA78" s="114" t="s">
        <v>16</v>
      </c>
      <c r="CB78" s="119">
        <v>0</v>
      </c>
      <c r="CC78" s="119">
        <v>500</v>
      </c>
      <c r="CD78" s="216" t="s">
        <v>37</v>
      </c>
      <c r="CE78" s="120">
        <v>0.1</v>
      </c>
      <c r="CF78" s="120">
        <v>0.5</v>
      </c>
      <c r="CG78" s="120">
        <v>1</v>
      </c>
      <c r="CH78" s="121">
        <v>5000</v>
      </c>
      <c r="CI78" s="120">
        <v>10000</v>
      </c>
      <c r="CJ78" s="120">
        <v>0.1</v>
      </c>
      <c r="CK78" s="120">
        <v>0.5</v>
      </c>
      <c r="CL78" s="120">
        <v>1</v>
      </c>
      <c r="CM78" s="121">
        <v>5000</v>
      </c>
      <c r="CN78" s="120">
        <v>10000</v>
      </c>
      <c r="CO78" s="120"/>
    </row>
    <row r="79" spans="1:93" x14ac:dyDescent="0.25">
      <c r="A79" s="1"/>
      <c r="B79" s="1"/>
      <c r="C79" s="1"/>
      <c r="D79" s="1"/>
      <c r="E79" s="1"/>
      <c r="F79" s="1"/>
      <c r="G79" s="1"/>
      <c r="H79" s="1"/>
      <c r="I79" s="1"/>
      <c r="J79" s="1"/>
      <c r="K79" s="1"/>
      <c r="L79" s="1"/>
      <c r="M79" s="1"/>
      <c r="N79" s="1"/>
      <c r="O79" s="1"/>
      <c r="P79" s="1"/>
      <c r="Q79" s="1"/>
      <c r="CA79" s="1"/>
      <c r="CB79" s="1"/>
      <c r="CC79" s="1"/>
      <c r="CD79" s="1"/>
    </row>
    <row r="80" spans="1:93" x14ac:dyDescent="0.25">
      <c r="A80" s="1"/>
      <c r="B80" s="142"/>
      <c r="C80" s="142"/>
      <c r="D80" s="142"/>
      <c r="E80" s="142"/>
      <c r="F80" s="142"/>
      <c r="G80" s="142"/>
      <c r="H80" s="142"/>
      <c r="I80" s="142"/>
      <c r="J80" s="142"/>
      <c r="K80" s="142"/>
      <c r="L80" s="142"/>
      <c r="M80" s="142"/>
      <c r="N80" s="142"/>
      <c r="O80" s="142"/>
      <c r="P80" s="142"/>
      <c r="Q80" s="30"/>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07"/>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36"/>
      <c r="BO80" s="36"/>
      <c r="BP80" s="36"/>
      <c r="BQ80" s="13"/>
      <c r="BR80" s="36"/>
      <c r="BS80" s="36"/>
      <c r="BT80" s="36"/>
      <c r="BU80" s="36"/>
      <c r="BV80" s="36"/>
      <c r="BW80" s="36"/>
      <c r="BX80" s="36"/>
      <c r="BY80" s="36"/>
      <c r="BZ80" s="109"/>
      <c r="CA80" s="1"/>
      <c r="CB80" s="1"/>
      <c r="CC80" s="1"/>
      <c r="CD80" s="1"/>
    </row>
    <row r="81" spans="1:84" x14ac:dyDescent="0.25">
      <c r="A81" s="1"/>
      <c r="B81" s="1"/>
      <c r="C81" s="1"/>
      <c r="D81" s="1"/>
      <c r="E81" s="1"/>
      <c r="F81" s="1"/>
      <c r="G81" s="1"/>
      <c r="H81" s="1"/>
      <c r="I81" s="1"/>
      <c r="J81" s="1"/>
      <c r="K81" s="1"/>
      <c r="L81" s="1"/>
      <c r="M81" s="1"/>
      <c r="N81" s="1"/>
      <c r="O81" s="1"/>
      <c r="P81" s="1"/>
      <c r="Q81" s="1"/>
      <c r="CA81" s="1"/>
      <c r="CB81" s="1"/>
      <c r="CC81" s="1"/>
      <c r="CD81" s="1"/>
    </row>
    <row r="82" spans="1:84" x14ac:dyDescent="0.25">
      <c r="A82" s="1"/>
      <c r="B82" s="1"/>
      <c r="C82" s="1"/>
      <c r="D82" s="1"/>
      <c r="E82" s="1"/>
      <c r="F82" s="1"/>
      <c r="G82" s="1"/>
      <c r="H82" s="1"/>
      <c r="I82" s="1"/>
      <c r="J82" s="1"/>
      <c r="K82" s="1"/>
      <c r="L82" s="1"/>
      <c r="M82" s="1"/>
      <c r="N82" s="1"/>
      <c r="O82" s="1"/>
      <c r="P82" s="1"/>
      <c r="Q82" s="1"/>
      <c r="S82" s="1"/>
      <c r="CC82" s="1"/>
      <c r="CD82" s="1"/>
      <c r="CE82" s="1"/>
      <c r="CF82" s="1"/>
    </row>
    <row r="83" spans="1:84" x14ac:dyDescent="0.25">
      <c r="A83" s="1"/>
      <c r="B83" s="1"/>
      <c r="C83" s="1"/>
      <c r="D83" s="1"/>
      <c r="E83" s="1"/>
      <c r="F83" s="1"/>
      <c r="G83" s="1"/>
      <c r="H83" s="1"/>
      <c r="I83" s="1"/>
      <c r="J83" s="1"/>
      <c r="K83" s="1"/>
      <c r="L83" s="1"/>
      <c r="M83" s="1"/>
      <c r="N83" s="1"/>
      <c r="O83" s="1"/>
      <c r="P83" s="1"/>
      <c r="Q83" s="1"/>
      <c r="S83" s="1"/>
      <c r="CC83" s="1"/>
      <c r="CD83" s="1"/>
      <c r="CE83" s="1"/>
      <c r="CF83" s="1"/>
    </row>
    <row r="84" spans="1:84" x14ac:dyDescent="0.25">
      <c r="A84" s="1"/>
      <c r="B84" s="1"/>
      <c r="C84" s="1"/>
      <c r="D84" s="1"/>
      <c r="E84" s="1"/>
      <c r="F84" s="1"/>
      <c r="G84" s="1"/>
      <c r="H84" s="1"/>
      <c r="I84" s="1"/>
      <c r="J84" s="1"/>
      <c r="K84" s="1"/>
      <c r="L84" s="1"/>
      <c r="M84" s="1"/>
      <c r="N84" s="1"/>
      <c r="O84" s="1"/>
      <c r="P84" s="1"/>
      <c r="Q84" s="1"/>
      <c r="S84" s="1"/>
      <c r="CC84" s="1"/>
      <c r="CD84" s="1"/>
      <c r="CE84" s="1"/>
      <c r="CF84" s="1"/>
    </row>
    <row r="85" spans="1:84" x14ac:dyDescent="0.25">
      <c r="A85" s="1"/>
      <c r="B85" s="1"/>
      <c r="C85" s="1"/>
      <c r="D85" s="1"/>
      <c r="E85" s="1"/>
      <c r="F85" s="1"/>
      <c r="G85" s="1"/>
      <c r="H85" s="1"/>
      <c r="I85" s="1"/>
      <c r="J85" s="1"/>
      <c r="K85" s="1"/>
      <c r="L85" s="1"/>
      <c r="M85" s="1"/>
      <c r="N85" s="1"/>
      <c r="O85" s="1"/>
      <c r="P85" s="1"/>
      <c r="Q85" s="1"/>
      <c r="S85" s="1"/>
      <c r="CC85" s="1"/>
      <c r="CD85" s="1"/>
      <c r="CE85" s="1"/>
      <c r="CF85" s="1"/>
    </row>
    <row r="86" spans="1:84" x14ac:dyDescent="0.25">
      <c r="A86" s="1"/>
      <c r="B86" s="1"/>
      <c r="C86" s="1"/>
      <c r="D86" s="1"/>
      <c r="E86" s="1"/>
      <c r="F86" s="1"/>
      <c r="G86" s="1"/>
      <c r="H86" s="1"/>
      <c r="I86" s="1"/>
      <c r="J86" s="1"/>
      <c r="K86" s="1"/>
      <c r="L86" s="1"/>
      <c r="M86" s="1"/>
      <c r="N86" s="1"/>
      <c r="O86" s="1"/>
      <c r="P86" s="1"/>
      <c r="Q86" s="1"/>
      <c r="S86" s="1"/>
      <c r="CC86" s="1"/>
      <c r="CD86" s="1"/>
      <c r="CE86" s="1"/>
      <c r="CF86" s="1"/>
    </row>
    <row r="87" spans="1:84" x14ac:dyDescent="0.25">
      <c r="A87" s="1"/>
      <c r="B87" s="1"/>
      <c r="C87" s="1"/>
      <c r="D87" s="1"/>
      <c r="E87" s="1"/>
      <c r="F87" s="1"/>
      <c r="G87" s="1"/>
      <c r="H87" s="1"/>
      <c r="I87" s="1"/>
      <c r="J87" s="1"/>
      <c r="K87" s="1"/>
      <c r="L87" s="1"/>
      <c r="M87" s="1"/>
      <c r="N87" s="1"/>
      <c r="O87" s="1"/>
      <c r="P87" s="1"/>
      <c r="Q87" s="1"/>
      <c r="S87" s="1"/>
      <c r="CC87" s="1"/>
      <c r="CD87" s="1"/>
      <c r="CE87" s="1"/>
      <c r="CF87" s="1"/>
    </row>
    <row r="88" spans="1:84" x14ac:dyDescent="0.25">
      <c r="A88" s="1"/>
      <c r="B88" s="1"/>
      <c r="C88" s="1"/>
      <c r="D88" s="1"/>
      <c r="E88" s="1"/>
      <c r="F88" s="1"/>
      <c r="G88" s="1"/>
      <c r="H88" s="1"/>
      <c r="I88" s="1"/>
      <c r="J88" s="1"/>
      <c r="K88" s="1"/>
      <c r="L88" s="1"/>
      <c r="M88" s="1"/>
      <c r="N88" s="1"/>
      <c r="O88" s="1"/>
      <c r="P88" s="1"/>
      <c r="Q88" s="1"/>
      <c r="S88" s="1"/>
      <c r="CC88" s="1"/>
      <c r="CD88" s="1"/>
      <c r="CE88" s="1"/>
      <c r="CF88" s="1"/>
    </row>
    <row r="89" spans="1:84" x14ac:dyDescent="0.25">
      <c r="A89" s="1"/>
      <c r="B89" s="1"/>
      <c r="C89" s="1"/>
      <c r="D89" s="1"/>
      <c r="E89" s="1"/>
      <c r="F89" s="1"/>
      <c r="G89" s="1"/>
      <c r="H89" s="1"/>
      <c r="I89" s="1"/>
      <c r="J89" s="1"/>
      <c r="K89" s="1"/>
      <c r="L89" s="1"/>
      <c r="M89" s="1"/>
      <c r="N89" s="1"/>
      <c r="O89" s="1"/>
      <c r="P89" s="1"/>
      <c r="Q89" s="1"/>
      <c r="S89" s="1"/>
      <c r="CC89" s="1"/>
      <c r="CD89" s="1"/>
      <c r="CE89" s="1"/>
      <c r="CF89" s="1"/>
    </row>
    <row r="93" spans="1:84" x14ac:dyDescent="0.25">
      <c r="H93" s="13"/>
      <c r="I93" s="13"/>
      <c r="J93" s="13"/>
      <c r="K93" s="13"/>
    </row>
  </sheetData>
  <sortState ref="A26:CN51">
    <sortCondition ref="A26"/>
  </sortState>
  <mergeCells count="9">
    <mergeCell ref="Q17:S17"/>
    <mergeCell ref="Q9:S9"/>
    <mergeCell ref="Q10:S10"/>
    <mergeCell ref="Q11:S11"/>
    <mergeCell ref="Q12:S12"/>
    <mergeCell ref="Q13:S13"/>
    <mergeCell ref="Q16:S16"/>
    <mergeCell ref="Q14:S14"/>
    <mergeCell ref="Q15:S15"/>
  </mergeCells>
  <conditionalFormatting sqref="T2:AQ2 R55:BM57">
    <cfRule type="cellIs" dxfId="221" priority="304" stopIfTrue="1" operator="equal">
      <formula>"o"</formula>
    </cfRule>
    <cfRule type="cellIs" dxfId="220" priority="305" stopIfTrue="1" operator="equal">
      <formula>"p"</formula>
    </cfRule>
    <cfRule type="cellIs" dxfId="219" priority="306" stopIfTrue="1" operator="equal">
      <formula>"m"</formula>
    </cfRule>
  </conditionalFormatting>
  <conditionalFormatting sqref="R78:AO78">
    <cfRule type="cellIs" dxfId="218" priority="313" stopIfTrue="1" operator="equal">
      <formula>"o"</formula>
    </cfRule>
    <cfRule type="cellIs" dxfId="217" priority="314" stopIfTrue="1" operator="equal">
      <formula>"p"</formula>
    </cfRule>
    <cfRule type="cellIs" dxfId="216" priority="315" stopIfTrue="1" operator="equal">
      <formula>"m"</formula>
    </cfRule>
  </conditionalFormatting>
  <conditionalFormatting sqref="AR2:BO2">
    <cfRule type="cellIs" dxfId="215" priority="292" stopIfTrue="1" operator="equal">
      <formula>"o"</formula>
    </cfRule>
    <cfRule type="cellIs" dxfId="214" priority="293" stopIfTrue="1" operator="equal">
      <formula>"p"</formula>
    </cfRule>
    <cfRule type="cellIs" dxfId="213" priority="294" stopIfTrue="1" operator="equal">
      <formula>"m"</formula>
    </cfRule>
  </conditionalFormatting>
  <conditionalFormatting sqref="R80:AO80">
    <cfRule type="cellIs" dxfId="212" priority="235" stopIfTrue="1" operator="equal">
      <formula>"o"</formula>
    </cfRule>
    <cfRule type="cellIs" dxfId="211" priority="236" stopIfTrue="1" operator="equal">
      <formula>"p"</formula>
    </cfRule>
    <cfRule type="cellIs" dxfId="210" priority="237" stopIfTrue="1" operator="equal">
      <formula>"m"</formula>
    </cfRule>
  </conditionalFormatting>
  <conditionalFormatting sqref="AP80:BM80">
    <cfRule type="cellIs" dxfId="209" priority="232" stopIfTrue="1" operator="equal">
      <formula>"o"</formula>
    </cfRule>
    <cfRule type="cellIs" dxfId="208" priority="233" stopIfTrue="1" operator="equal">
      <formula>"p"</formula>
    </cfRule>
    <cfRule type="cellIs" dxfId="207" priority="234" stopIfTrue="1" operator="equal">
      <formula>"m"</formula>
    </cfRule>
  </conditionalFormatting>
  <conditionalFormatting sqref="BR80:BY80">
    <cfRule type="cellIs" dxfId="206" priority="229" stopIfTrue="1" operator="equal">
      <formula>"o"</formula>
    </cfRule>
    <cfRule type="cellIs" dxfId="205" priority="230" stopIfTrue="1" operator="equal">
      <formula>"p"</formula>
    </cfRule>
    <cfRule type="cellIs" dxfId="204" priority="231" stopIfTrue="1" operator="equal">
      <formula>"m"</formula>
    </cfRule>
  </conditionalFormatting>
  <conditionalFormatting sqref="BN80">
    <cfRule type="cellIs" dxfId="203" priority="226" stopIfTrue="1" operator="equal">
      <formula>"o"</formula>
    </cfRule>
    <cfRule type="cellIs" dxfId="202" priority="227" stopIfTrue="1" operator="equal">
      <formula>"p"</formula>
    </cfRule>
    <cfRule type="cellIs" dxfId="201" priority="228" stopIfTrue="1" operator="equal">
      <formula>"m"</formula>
    </cfRule>
  </conditionalFormatting>
  <conditionalFormatting sqref="BO80">
    <cfRule type="cellIs" dxfId="200" priority="223" stopIfTrue="1" operator="equal">
      <formula>"o"</formula>
    </cfRule>
    <cfRule type="cellIs" dxfId="199" priority="224" stopIfTrue="1" operator="equal">
      <formula>"p"</formula>
    </cfRule>
    <cfRule type="cellIs" dxfId="198" priority="225" stopIfTrue="1" operator="equal">
      <formula>"m"</formula>
    </cfRule>
  </conditionalFormatting>
  <conditionalFormatting sqref="BP80">
    <cfRule type="cellIs" dxfId="197" priority="220" stopIfTrue="1" operator="equal">
      <formula>"o"</formula>
    </cfRule>
    <cfRule type="cellIs" dxfId="196" priority="221" stopIfTrue="1" operator="equal">
      <formula>"p"</formula>
    </cfRule>
    <cfRule type="cellIs" dxfId="195" priority="222" stopIfTrue="1" operator="equal">
      <formula>"m"</formula>
    </cfRule>
  </conditionalFormatting>
  <conditionalFormatting sqref="AP58:BM59">
    <cfRule type="cellIs" dxfId="194" priority="142" stopIfTrue="1" operator="equal">
      <formula>"o"</formula>
    </cfRule>
    <cfRule type="cellIs" dxfId="193" priority="143" stopIfTrue="1" operator="equal">
      <formula>"p"</formula>
    </cfRule>
    <cfRule type="cellIs" dxfId="192" priority="144" stopIfTrue="1" operator="equal">
      <formula>"m"</formula>
    </cfRule>
  </conditionalFormatting>
  <conditionalFormatting sqref="BS35:BV36 BS49:BV52 AP49:BM52 AP78:BM79 AF68:BM68 R61:BM64 R69:BM71 R73:BM77">
    <cfRule type="cellIs" dxfId="191" priority="199" stopIfTrue="1" operator="equal">
      <formula>"o"</formula>
    </cfRule>
    <cfRule type="cellIs" dxfId="190" priority="200" stopIfTrue="1" operator="equal">
      <formula>"p"</formula>
    </cfRule>
    <cfRule type="cellIs" dxfId="189" priority="201" stopIfTrue="1" operator="equal">
      <formula>"m"</formula>
    </cfRule>
  </conditionalFormatting>
  <conditionalFormatting sqref="R33:AO33 R35:AO35 R39:AO40 R36:AS36">
    <cfRule type="cellIs" dxfId="188" priority="214" stopIfTrue="1" operator="equal">
      <formula>"o"</formula>
    </cfRule>
    <cfRule type="cellIs" dxfId="187" priority="215" stopIfTrue="1" operator="equal">
      <formula>"p"</formula>
    </cfRule>
    <cfRule type="cellIs" dxfId="186" priority="216" stopIfTrue="1" operator="equal">
      <formula>"m"</formula>
    </cfRule>
  </conditionalFormatting>
  <conditionalFormatting sqref="R49:AO51 R52:AI52 AK52:AO52 AJ52:AJ53">
    <cfRule type="cellIs" dxfId="185" priority="208" stopIfTrue="1" operator="equal">
      <formula>"o"</formula>
    </cfRule>
    <cfRule type="cellIs" dxfId="184" priority="209" stopIfTrue="1" operator="equal">
      <formula>"p"</formula>
    </cfRule>
    <cfRule type="cellIs" dxfId="183" priority="210" stopIfTrue="1" operator="equal">
      <formula>"m"</formula>
    </cfRule>
  </conditionalFormatting>
  <conditionalFormatting sqref="R41:AO44 R48:AO48">
    <cfRule type="cellIs" dxfId="182" priority="211" stopIfTrue="1" operator="equal">
      <formula>"o"</formula>
    </cfRule>
    <cfRule type="cellIs" dxfId="181" priority="212" stopIfTrue="1" operator="equal">
      <formula>"p"</formula>
    </cfRule>
    <cfRule type="cellIs" dxfId="180" priority="213" stopIfTrue="1" operator="equal">
      <formula>"m"</formula>
    </cfRule>
  </conditionalFormatting>
  <conditionalFormatting sqref="AP41:BM43">
    <cfRule type="cellIs" dxfId="179" priority="205" stopIfTrue="1" operator="equal">
      <formula>"o"</formula>
    </cfRule>
    <cfRule type="cellIs" dxfId="178" priority="206" stopIfTrue="1" operator="equal">
      <formula>"p"</formula>
    </cfRule>
    <cfRule type="cellIs" dxfId="177" priority="207" stopIfTrue="1" operator="equal">
      <formula>"m"</formula>
    </cfRule>
  </conditionalFormatting>
  <conditionalFormatting sqref="AP33:BM33 AP35:BM35 AP39:BM40 BA36:BM36">
    <cfRule type="cellIs" dxfId="176" priority="202" stopIfTrue="1" operator="equal">
      <formula>"o"</formula>
    </cfRule>
    <cfRule type="cellIs" dxfId="175" priority="203" stopIfTrue="1" operator="equal">
      <formula>"p"</formula>
    </cfRule>
    <cfRule type="cellIs" dxfId="174" priority="204" stopIfTrue="1" operator="equal">
      <formula>"m"</formula>
    </cfRule>
  </conditionalFormatting>
  <conditionalFormatting sqref="BR41:BW43 BW49:BW52 BW35:BY36 BX48:BY52 BX39:BY44">
    <cfRule type="cellIs" dxfId="173" priority="196" stopIfTrue="1" operator="equal">
      <formula>"o"</formula>
    </cfRule>
    <cfRule type="cellIs" dxfId="172" priority="197" stopIfTrue="1" operator="equal">
      <formula>"p"</formula>
    </cfRule>
    <cfRule type="cellIs" dxfId="171" priority="198" stopIfTrue="1" operator="equal">
      <formula>"m"</formula>
    </cfRule>
  </conditionalFormatting>
  <conditionalFormatting sqref="BN48:BN52 BN33:BY33 BN35:BN36 BN39:BN44">
    <cfRule type="cellIs" dxfId="170" priority="193" stopIfTrue="1" operator="equal">
      <formula>"o"</formula>
    </cfRule>
    <cfRule type="cellIs" dxfId="169" priority="194" stopIfTrue="1" operator="equal">
      <formula>"p"</formula>
    </cfRule>
    <cfRule type="cellIs" dxfId="168" priority="195" stopIfTrue="1" operator="equal">
      <formula>"m"</formula>
    </cfRule>
  </conditionalFormatting>
  <conditionalFormatting sqref="BO35:BO36 BO48:BO52 BO39:BO44">
    <cfRule type="cellIs" dxfId="167" priority="190" stopIfTrue="1" operator="equal">
      <formula>"o"</formula>
    </cfRule>
    <cfRule type="cellIs" dxfId="166" priority="191" stopIfTrue="1" operator="equal">
      <formula>"p"</formula>
    </cfRule>
    <cfRule type="cellIs" dxfId="165" priority="192" stopIfTrue="1" operator="equal">
      <formula>"m"</formula>
    </cfRule>
  </conditionalFormatting>
  <conditionalFormatting sqref="BQ49:BR52 BP35:BR36 BP48:BP52 BP39:BP44">
    <cfRule type="cellIs" dxfId="164" priority="187" stopIfTrue="1" operator="equal">
      <formula>"o"</formula>
    </cfRule>
    <cfRule type="cellIs" dxfId="163" priority="188" stopIfTrue="1" operator="equal">
      <formula>"p"</formula>
    </cfRule>
    <cfRule type="cellIs" dxfId="162" priority="189" stopIfTrue="1" operator="equal">
      <formula>"m"</formula>
    </cfRule>
  </conditionalFormatting>
  <conditionalFormatting sqref="AP44:BM44 AP48:BM48">
    <cfRule type="cellIs" dxfId="161" priority="184" stopIfTrue="1" operator="equal">
      <formula>"o"</formula>
    </cfRule>
    <cfRule type="cellIs" dxfId="160" priority="185" stopIfTrue="1" operator="equal">
      <formula>"p"</formula>
    </cfRule>
    <cfRule type="cellIs" dxfId="159" priority="186" stopIfTrue="1" operator="equal">
      <formula>"m"</formula>
    </cfRule>
  </conditionalFormatting>
  <conditionalFormatting sqref="AP47:BM47">
    <cfRule type="cellIs" dxfId="158" priority="166" stopIfTrue="1" operator="equal">
      <formula>"o"</formula>
    </cfRule>
    <cfRule type="cellIs" dxfId="157" priority="167" stopIfTrue="1" operator="equal">
      <formula>"p"</formula>
    </cfRule>
    <cfRule type="cellIs" dxfId="156" priority="168" stopIfTrue="1" operator="equal">
      <formula>"m"</formula>
    </cfRule>
  </conditionalFormatting>
  <conditionalFormatting sqref="R47:AO47">
    <cfRule type="cellIs" dxfId="155" priority="181" stopIfTrue="1" operator="equal">
      <formula>"o"</formula>
    </cfRule>
    <cfRule type="cellIs" dxfId="154" priority="182" stopIfTrue="1" operator="equal">
      <formula>"p"</formula>
    </cfRule>
    <cfRule type="cellIs" dxfId="153" priority="183" stopIfTrue="1" operator="equal">
      <formula>"m"</formula>
    </cfRule>
  </conditionalFormatting>
  <conditionalFormatting sqref="BX47:BY47">
    <cfRule type="cellIs" dxfId="152" priority="178" stopIfTrue="1" operator="equal">
      <formula>"o"</formula>
    </cfRule>
    <cfRule type="cellIs" dxfId="151" priority="179" stopIfTrue="1" operator="equal">
      <formula>"p"</formula>
    </cfRule>
    <cfRule type="cellIs" dxfId="150" priority="180" stopIfTrue="1" operator="equal">
      <formula>"m"</formula>
    </cfRule>
  </conditionalFormatting>
  <conditionalFormatting sqref="BN47">
    <cfRule type="cellIs" dxfId="149" priority="175" stopIfTrue="1" operator="equal">
      <formula>"o"</formula>
    </cfRule>
    <cfRule type="cellIs" dxfId="148" priority="176" stopIfTrue="1" operator="equal">
      <formula>"p"</formula>
    </cfRule>
    <cfRule type="cellIs" dxfId="147" priority="177" stopIfTrue="1" operator="equal">
      <formula>"m"</formula>
    </cfRule>
  </conditionalFormatting>
  <conditionalFormatting sqref="BO47">
    <cfRule type="cellIs" dxfId="146" priority="172" stopIfTrue="1" operator="equal">
      <formula>"o"</formula>
    </cfRule>
    <cfRule type="cellIs" dxfId="145" priority="173" stopIfTrue="1" operator="equal">
      <formula>"p"</formula>
    </cfRule>
    <cfRule type="cellIs" dxfId="144" priority="174" stopIfTrue="1" operator="equal">
      <formula>"m"</formula>
    </cfRule>
  </conditionalFormatting>
  <conditionalFormatting sqref="BP47">
    <cfRule type="cellIs" dxfId="143" priority="169" stopIfTrue="1" operator="equal">
      <formula>"o"</formula>
    </cfRule>
    <cfRule type="cellIs" dxfId="142" priority="170" stopIfTrue="1" operator="equal">
      <formula>"p"</formula>
    </cfRule>
    <cfRule type="cellIs" dxfId="141" priority="171" stopIfTrue="1" operator="equal">
      <formula>"m"</formula>
    </cfRule>
  </conditionalFormatting>
  <conditionalFormatting sqref="AP53:BM53">
    <cfRule type="cellIs" dxfId="140" priority="160" stopIfTrue="1" operator="equal">
      <formula>"o"</formula>
    </cfRule>
    <cfRule type="cellIs" dxfId="139" priority="161" stopIfTrue="1" operator="equal">
      <formula>"p"</formula>
    </cfRule>
    <cfRule type="cellIs" dxfId="138" priority="162" stopIfTrue="1" operator="equal">
      <formula>"m"</formula>
    </cfRule>
  </conditionalFormatting>
  <conditionalFormatting sqref="R53:AI53 AK53:AO53">
    <cfRule type="cellIs" dxfId="137" priority="163" stopIfTrue="1" operator="equal">
      <formula>"o"</formula>
    </cfRule>
    <cfRule type="cellIs" dxfId="136" priority="164" stopIfTrue="1" operator="equal">
      <formula>"p"</formula>
    </cfRule>
    <cfRule type="cellIs" dxfId="135" priority="165" stopIfTrue="1" operator="equal">
      <formula>"m"</formula>
    </cfRule>
  </conditionalFormatting>
  <conditionalFormatting sqref="R54:AO54">
    <cfRule type="cellIs" dxfId="134" priority="157" stopIfTrue="1" operator="equal">
      <formula>"o"</formula>
    </cfRule>
    <cfRule type="cellIs" dxfId="133" priority="158" stopIfTrue="1" operator="equal">
      <formula>"p"</formula>
    </cfRule>
    <cfRule type="cellIs" dxfId="132" priority="159" stopIfTrue="1" operator="equal">
      <formula>"m"</formula>
    </cfRule>
  </conditionalFormatting>
  <conditionalFormatting sqref="BN34:BY34">
    <cfRule type="cellIs" dxfId="131" priority="148" stopIfTrue="1" operator="equal">
      <formula>"o"</formula>
    </cfRule>
    <cfRule type="cellIs" dxfId="130" priority="149" stopIfTrue="1" operator="equal">
      <formula>"p"</formula>
    </cfRule>
    <cfRule type="cellIs" dxfId="129" priority="150" stopIfTrue="1" operator="equal">
      <formula>"m"</formula>
    </cfRule>
  </conditionalFormatting>
  <conditionalFormatting sqref="R34:AO34">
    <cfRule type="cellIs" dxfId="128" priority="154" stopIfTrue="1" operator="equal">
      <formula>"o"</formula>
    </cfRule>
    <cfRule type="cellIs" dxfId="127" priority="155" stopIfTrue="1" operator="equal">
      <formula>"p"</formula>
    </cfRule>
    <cfRule type="cellIs" dxfId="126" priority="156" stopIfTrue="1" operator="equal">
      <formula>"m"</formula>
    </cfRule>
  </conditionalFormatting>
  <conditionalFormatting sqref="AP34:BM34">
    <cfRule type="cellIs" dxfId="125" priority="151" stopIfTrue="1" operator="equal">
      <formula>"o"</formula>
    </cfRule>
    <cfRule type="cellIs" dxfId="124" priority="152" stopIfTrue="1" operator="equal">
      <formula>"p"</formula>
    </cfRule>
    <cfRule type="cellIs" dxfId="123" priority="153" stopIfTrue="1" operator="equal">
      <formula>"m"</formula>
    </cfRule>
  </conditionalFormatting>
  <conditionalFormatting sqref="R58:AO59">
    <cfRule type="cellIs" dxfId="122" priority="145" stopIfTrue="1" operator="equal">
      <formula>"o"</formula>
    </cfRule>
    <cfRule type="cellIs" dxfId="121" priority="146" stopIfTrue="1" operator="equal">
      <formula>"p"</formula>
    </cfRule>
    <cfRule type="cellIs" dxfId="120" priority="147" stopIfTrue="1" operator="equal">
      <formula>"m"</formula>
    </cfRule>
  </conditionalFormatting>
  <conditionalFormatting sqref="AT36:AV36">
    <cfRule type="cellIs" dxfId="119" priority="133" stopIfTrue="1" operator="equal">
      <formula>"o"</formula>
    </cfRule>
    <cfRule type="cellIs" dxfId="118" priority="134" stopIfTrue="1" operator="equal">
      <formula>"p"</formula>
    </cfRule>
    <cfRule type="cellIs" dxfId="117" priority="135" stopIfTrue="1" operator="equal">
      <formula>"m"</formula>
    </cfRule>
  </conditionalFormatting>
  <conditionalFormatting sqref="AW36:AZ36">
    <cfRule type="cellIs" dxfId="116" priority="130" stopIfTrue="1" operator="equal">
      <formula>"o"</formula>
    </cfRule>
    <cfRule type="cellIs" dxfId="115" priority="131" stopIfTrue="1" operator="equal">
      <formula>"p"</formula>
    </cfRule>
    <cfRule type="cellIs" dxfId="114" priority="132" stopIfTrue="1" operator="equal">
      <formula>"m"</formula>
    </cfRule>
  </conditionalFormatting>
  <conditionalFormatting sqref="AP54:BM54">
    <cfRule type="cellIs" dxfId="113" priority="127" stopIfTrue="1" operator="equal">
      <formula>"o"</formula>
    </cfRule>
    <cfRule type="cellIs" dxfId="112" priority="128" stopIfTrue="1" operator="equal">
      <formula>"p"</formula>
    </cfRule>
    <cfRule type="cellIs" dxfId="111" priority="129" stopIfTrue="1" operator="equal">
      <formula>"m"</formula>
    </cfRule>
  </conditionalFormatting>
  <conditionalFormatting sqref="BS37:BV37">
    <cfRule type="cellIs" dxfId="110" priority="118" stopIfTrue="1" operator="equal">
      <formula>"o"</formula>
    </cfRule>
    <cfRule type="cellIs" dxfId="109" priority="119" stopIfTrue="1" operator="equal">
      <formula>"p"</formula>
    </cfRule>
    <cfRule type="cellIs" dxfId="108" priority="120" stopIfTrue="1" operator="equal">
      <formula>"m"</formula>
    </cfRule>
  </conditionalFormatting>
  <conditionalFormatting sqref="BN37">
    <cfRule type="cellIs" dxfId="107" priority="112" stopIfTrue="1" operator="equal">
      <formula>"o"</formula>
    </cfRule>
    <cfRule type="cellIs" dxfId="106" priority="113" stopIfTrue="1" operator="equal">
      <formula>"p"</formula>
    </cfRule>
    <cfRule type="cellIs" dxfId="105" priority="114" stopIfTrue="1" operator="equal">
      <formula>"m"</formula>
    </cfRule>
  </conditionalFormatting>
  <conditionalFormatting sqref="BO37">
    <cfRule type="cellIs" dxfId="104" priority="109" stopIfTrue="1" operator="equal">
      <formula>"o"</formula>
    </cfRule>
    <cfRule type="cellIs" dxfId="103" priority="110" stopIfTrue="1" operator="equal">
      <formula>"p"</formula>
    </cfRule>
    <cfRule type="cellIs" dxfId="102" priority="111" stopIfTrue="1" operator="equal">
      <formula>"m"</formula>
    </cfRule>
  </conditionalFormatting>
  <conditionalFormatting sqref="BW37:BY37">
    <cfRule type="cellIs" dxfId="101" priority="115" stopIfTrue="1" operator="equal">
      <formula>"o"</formula>
    </cfRule>
    <cfRule type="cellIs" dxfId="100" priority="116" stopIfTrue="1" operator="equal">
      <formula>"p"</formula>
    </cfRule>
    <cfRule type="cellIs" dxfId="99" priority="117" stopIfTrue="1" operator="equal">
      <formula>"m"</formula>
    </cfRule>
  </conditionalFormatting>
  <conditionalFormatting sqref="BS38:BV38">
    <cfRule type="cellIs" dxfId="98" priority="85" stopIfTrue="1" operator="equal">
      <formula>"o"</formula>
    </cfRule>
    <cfRule type="cellIs" dxfId="97" priority="86" stopIfTrue="1" operator="equal">
      <formula>"p"</formula>
    </cfRule>
    <cfRule type="cellIs" dxfId="96" priority="87" stopIfTrue="1" operator="equal">
      <formula>"m"</formula>
    </cfRule>
  </conditionalFormatting>
  <conditionalFormatting sqref="BW38:BY38">
    <cfRule type="cellIs" dxfId="95" priority="82" stopIfTrue="1" operator="equal">
      <formula>"o"</formula>
    </cfRule>
    <cfRule type="cellIs" dxfId="94" priority="83" stopIfTrue="1" operator="equal">
      <formula>"p"</formula>
    </cfRule>
    <cfRule type="cellIs" dxfId="93" priority="84" stopIfTrue="1" operator="equal">
      <formula>"m"</formula>
    </cfRule>
  </conditionalFormatting>
  <conditionalFormatting sqref="BP37:BR37">
    <cfRule type="cellIs" dxfId="92" priority="106" stopIfTrue="1" operator="equal">
      <formula>"o"</formula>
    </cfRule>
    <cfRule type="cellIs" dxfId="91" priority="107" stopIfTrue="1" operator="equal">
      <formula>"p"</formula>
    </cfRule>
    <cfRule type="cellIs" dxfId="90" priority="108" stopIfTrue="1" operator="equal">
      <formula>"m"</formula>
    </cfRule>
  </conditionalFormatting>
  <conditionalFormatting sqref="AT37:AV37">
    <cfRule type="cellIs" dxfId="89" priority="91" stopIfTrue="1" operator="equal">
      <formula>"o"</formula>
    </cfRule>
    <cfRule type="cellIs" dxfId="88" priority="92" stopIfTrue="1" operator="equal">
      <formula>"p"</formula>
    </cfRule>
    <cfRule type="cellIs" dxfId="87" priority="93" stopIfTrue="1" operator="equal">
      <formula>"m"</formula>
    </cfRule>
  </conditionalFormatting>
  <conditionalFormatting sqref="AW37:AZ37">
    <cfRule type="cellIs" dxfId="86" priority="88" stopIfTrue="1" operator="equal">
      <formula>"o"</formula>
    </cfRule>
    <cfRule type="cellIs" dxfId="85" priority="89" stopIfTrue="1" operator="equal">
      <formula>"p"</formula>
    </cfRule>
    <cfRule type="cellIs" dxfId="84" priority="90" stopIfTrue="1" operator="equal">
      <formula>"m"</formula>
    </cfRule>
  </conditionalFormatting>
  <conditionalFormatting sqref="R37:AS37">
    <cfRule type="cellIs" dxfId="83" priority="97" stopIfTrue="1" operator="equal">
      <formula>"o"</formula>
    </cfRule>
    <cfRule type="cellIs" dxfId="82" priority="98" stopIfTrue="1" operator="equal">
      <formula>"p"</formula>
    </cfRule>
    <cfRule type="cellIs" dxfId="81" priority="99" stopIfTrue="1" operator="equal">
      <formula>"m"</formula>
    </cfRule>
  </conditionalFormatting>
  <conditionalFormatting sqref="BA37:BM37">
    <cfRule type="cellIs" dxfId="80" priority="94" stopIfTrue="1" operator="equal">
      <formula>"o"</formula>
    </cfRule>
    <cfRule type="cellIs" dxfId="79" priority="95" stopIfTrue="1" operator="equal">
      <formula>"p"</formula>
    </cfRule>
    <cfRule type="cellIs" dxfId="78" priority="96" stopIfTrue="1" operator="equal">
      <formula>"m"</formula>
    </cfRule>
  </conditionalFormatting>
  <conditionalFormatting sqref="AT38:AV38">
    <cfRule type="cellIs" dxfId="77" priority="64" stopIfTrue="1" operator="equal">
      <formula>"o"</formula>
    </cfRule>
    <cfRule type="cellIs" dxfId="76" priority="65" stopIfTrue="1" operator="equal">
      <formula>"p"</formula>
    </cfRule>
    <cfRule type="cellIs" dxfId="75" priority="66" stopIfTrue="1" operator="equal">
      <formula>"m"</formula>
    </cfRule>
  </conditionalFormatting>
  <conditionalFormatting sqref="AW38:AZ38">
    <cfRule type="cellIs" dxfId="74" priority="61" stopIfTrue="1" operator="equal">
      <formula>"o"</formula>
    </cfRule>
    <cfRule type="cellIs" dxfId="73" priority="62" stopIfTrue="1" operator="equal">
      <formula>"p"</formula>
    </cfRule>
    <cfRule type="cellIs" dxfId="72" priority="63" stopIfTrue="1" operator="equal">
      <formula>"m"</formula>
    </cfRule>
  </conditionalFormatting>
  <conditionalFormatting sqref="BN38">
    <cfRule type="cellIs" dxfId="71" priority="79" stopIfTrue="1" operator="equal">
      <formula>"o"</formula>
    </cfRule>
    <cfRule type="cellIs" dxfId="70" priority="80" stopIfTrue="1" operator="equal">
      <formula>"p"</formula>
    </cfRule>
    <cfRule type="cellIs" dxfId="69" priority="81" stopIfTrue="1" operator="equal">
      <formula>"m"</formula>
    </cfRule>
  </conditionalFormatting>
  <conditionalFormatting sqref="BO38">
    <cfRule type="cellIs" dxfId="68" priority="76" stopIfTrue="1" operator="equal">
      <formula>"o"</formula>
    </cfRule>
    <cfRule type="cellIs" dxfId="67" priority="77" stopIfTrue="1" operator="equal">
      <formula>"p"</formula>
    </cfRule>
    <cfRule type="cellIs" dxfId="66" priority="78" stopIfTrue="1" operator="equal">
      <formula>"m"</formula>
    </cfRule>
  </conditionalFormatting>
  <conditionalFormatting sqref="BP38:BR38">
    <cfRule type="cellIs" dxfId="65" priority="73" stopIfTrue="1" operator="equal">
      <formula>"o"</formula>
    </cfRule>
    <cfRule type="cellIs" dxfId="64" priority="74" stopIfTrue="1" operator="equal">
      <formula>"p"</formula>
    </cfRule>
    <cfRule type="cellIs" dxfId="63" priority="75" stopIfTrue="1" operator="equal">
      <formula>"m"</formula>
    </cfRule>
  </conditionalFormatting>
  <conditionalFormatting sqref="R68:AE68">
    <cfRule type="cellIs" dxfId="62" priority="58" stopIfTrue="1" operator="equal">
      <formula>"o"</formula>
    </cfRule>
    <cfRule type="cellIs" dxfId="61" priority="59" stopIfTrue="1" operator="equal">
      <formula>"p"</formula>
    </cfRule>
    <cfRule type="cellIs" dxfId="60" priority="60" stopIfTrue="1" operator="equal">
      <formula>"m"</formula>
    </cfRule>
  </conditionalFormatting>
  <conditionalFormatting sqref="R38:AS38">
    <cfRule type="cellIs" dxfId="59" priority="70" stopIfTrue="1" operator="equal">
      <formula>"o"</formula>
    </cfRule>
    <cfRule type="cellIs" dxfId="58" priority="71" stopIfTrue="1" operator="equal">
      <formula>"p"</formula>
    </cfRule>
    <cfRule type="cellIs" dxfId="57" priority="72" stopIfTrue="1" operator="equal">
      <formula>"m"</formula>
    </cfRule>
  </conditionalFormatting>
  <conditionalFormatting sqref="BA38:BM38">
    <cfRule type="cellIs" dxfId="56" priority="67" stopIfTrue="1" operator="equal">
      <formula>"o"</formula>
    </cfRule>
    <cfRule type="cellIs" dxfId="55" priority="68" stopIfTrue="1" operator="equal">
      <formula>"p"</formula>
    </cfRule>
    <cfRule type="cellIs" dxfId="54" priority="69" stopIfTrue="1" operator="equal">
      <formula>"m"</formula>
    </cfRule>
  </conditionalFormatting>
  <conditionalFormatting sqref="R65:BM65">
    <cfRule type="cellIs" dxfId="53" priority="55" stopIfTrue="1" operator="equal">
      <formula>"o"</formula>
    </cfRule>
    <cfRule type="cellIs" dxfId="52" priority="56" stopIfTrue="1" operator="equal">
      <formula>"p"</formula>
    </cfRule>
    <cfRule type="cellIs" dxfId="51" priority="57" stopIfTrue="1" operator="equal">
      <formula>"m"</formula>
    </cfRule>
  </conditionalFormatting>
  <conditionalFormatting sqref="R60:AO60">
    <cfRule type="cellIs" dxfId="50" priority="52" stopIfTrue="1" operator="equal">
      <formula>"o"</formula>
    </cfRule>
    <cfRule type="cellIs" dxfId="49" priority="53" stopIfTrue="1" operator="equal">
      <formula>"p"</formula>
    </cfRule>
    <cfRule type="cellIs" dxfId="48" priority="54" stopIfTrue="1" operator="equal">
      <formula>"m"</formula>
    </cfRule>
  </conditionalFormatting>
  <conditionalFormatting sqref="R66:BM66">
    <cfRule type="cellIs" dxfId="47" priority="49" stopIfTrue="1" operator="equal">
      <formula>"o"</formula>
    </cfRule>
    <cfRule type="cellIs" dxfId="46" priority="50" stopIfTrue="1" operator="equal">
      <formula>"p"</formula>
    </cfRule>
    <cfRule type="cellIs" dxfId="45" priority="51" stopIfTrue="1" operator="equal">
      <formula>"m"</formula>
    </cfRule>
  </conditionalFormatting>
  <conditionalFormatting sqref="R67:BM67">
    <cfRule type="cellIs" dxfId="44" priority="46" stopIfTrue="1" operator="equal">
      <formula>"o"</formula>
    </cfRule>
    <cfRule type="cellIs" dxfId="43" priority="47" stopIfTrue="1" operator="equal">
      <formula>"p"</formula>
    </cfRule>
    <cfRule type="cellIs" dxfId="42" priority="48" stopIfTrue="1" operator="equal">
      <formula>"m"</formula>
    </cfRule>
  </conditionalFormatting>
  <conditionalFormatting sqref="AP60:BM60">
    <cfRule type="cellIs" dxfId="41" priority="43" stopIfTrue="1" operator="equal">
      <formula>"o"</formula>
    </cfRule>
    <cfRule type="cellIs" dxfId="40" priority="44" stopIfTrue="1" operator="equal">
      <formula>"p"</formula>
    </cfRule>
    <cfRule type="cellIs" dxfId="39" priority="45" stopIfTrue="1" operator="equal">
      <formula>"m"</formula>
    </cfRule>
  </conditionalFormatting>
  <conditionalFormatting sqref="R72:BM72">
    <cfRule type="cellIs" dxfId="38" priority="40" stopIfTrue="1" operator="equal">
      <formula>"o"</formula>
    </cfRule>
    <cfRule type="cellIs" dxfId="37" priority="41" stopIfTrue="1" operator="equal">
      <formula>"p"</formula>
    </cfRule>
    <cfRule type="cellIs" dxfId="36" priority="42" stopIfTrue="1" operator="equal">
      <formula>"m"</formula>
    </cfRule>
  </conditionalFormatting>
  <conditionalFormatting sqref="R46:AO46">
    <cfRule type="cellIs" dxfId="35" priority="37" stopIfTrue="1" operator="equal">
      <formula>"o"</formula>
    </cfRule>
    <cfRule type="cellIs" dxfId="34" priority="38" stopIfTrue="1" operator="equal">
      <formula>"p"</formula>
    </cfRule>
    <cfRule type="cellIs" dxfId="33" priority="39" stopIfTrue="1" operator="equal">
      <formula>"m"</formula>
    </cfRule>
  </conditionalFormatting>
  <conditionalFormatting sqref="BX46:BY46">
    <cfRule type="cellIs" dxfId="32" priority="34" stopIfTrue="1" operator="equal">
      <formula>"o"</formula>
    </cfRule>
    <cfRule type="cellIs" dxfId="31" priority="35" stopIfTrue="1" operator="equal">
      <formula>"p"</formula>
    </cfRule>
    <cfRule type="cellIs" dxfId="30" priority="36" stopIfTrue="1" operator="equal">
      <formula>"m"</formula>
    </cfRule>
  </conditionalFormatting>
  <conditionalFormatting sqref="BN46">
    <cfRule type="cellIs" dxfId="29" priority="31" stopIfTrue="1" operator="equal">
      <formula>"o"</formula>
    </cfRule>
    <cfRule type="cellIs" dxfId="28" priority="32" stopIfTrue="1" operator="equal">
      <formula>"p"</formula>
    </cfRule>
    <cfRule type="cellIs" dxfId="27" priority="33" stopIfTrue="1" operator="equal">
      <formula>"m"</formula>
    </cfRule>
  </conditionalFormatting>
  <conditionalFormatting sqref="BO46">
    <cfRule type="cellIs" dxfId="26" priority="28" stopIfTrue="1" operator="equal">
      <formula>"o"</formula>
    </cfRule>
    <cfRule type="cellIs" dxfId="25" priority="29" stopIfTrue="1" operator="equal">
      <formula>"p"</formula>
    </cfRule>
    <cfRule type="cellIs" dxfId="24" priority="30" stopIfTrue="1" operator="equal">
      <formula>"m"</formula>
    </cfRule>
  </conditionalFormatting>
  <conditionalFormatting sqref="BP46">
    <cfRule type="cellIs" dxfId="23" priority="25" stopIfTrue="1" operator="equal">
      <formula>"o"</formula>
    </cfRule>
    <cfRule type="cellIs" dxfId="22" priority="26" stopIfTrue="1" operator="equal">
      <formula>"p"</formula>
    </cfRule>
    <cfRule type="cellIs" dxfId="21" priority="27" stopIfTrue="1" operator="equal">
      <formula>"m"</formula>
    </cfRule>
  </conditionalFormatting>
  <conditionalFormatting sqref="AP46:BM46">
    <cfRule type="cellIs" dxfId="20" priority="19" stopIfTrue="1" operator="equal">
      <formula>"o"</formula>
    </cfRule>
    <cfRule type="cellIs" dxfId="19" priority="20" stopIfTrue="1" operator="equal">
      <formula>"p"</formula>
    </cfRule>
    <cfRule type="cellIs" dxfId="18" priority="21" stopIfTrue="1" operator="equal">
      <formula>"m"</formula>
    </cfRule>
  </conditionalFormatting>
  <conditionalFormatting sqref="AP45:BM45">
    <cfRule type="cellIs" dxfId="17" priority="1" stopIfTrue="1" operator="equal">
      <formula>"o"</formula>
    </cfRule>
    <cfRule type="cellIs" dxfId="16" priority="2" stopIfTrue="1" operator="equal">
      <formula>"p"</formula>
    </cfRule>
    <cfRule type="cellIs" dxfId="15" priority="3" stopIfTrue="1" operator="equal">
      <formula>"m"</formula>
    </cfRule>
  </conditionalFormatting>
  <conditionalFormatting sqref="R45:AO45">
    <cfRule type="cellIs" dxfId="14" priority="16" stopIfTrue="1" operator="equal">
      <formula>"o"</formula>
    </cfRule>
    <cfRule type="cellIs" dxfId="13" priority="17" stopIfTrue="1" operator="equal">
      <formula>"p"</formula>
    </cfRule>
    <cfRule type="cellIs" dxfId="12" priority="18" stopIfTrue="1" operator="equal">
      <formula>"m"</formula>
    </cfRule>
  </conditionalFormatting>
  <conditionalFormatting sqref="BX45:BY45">
    <cfRule type="cellIs" dxfId="11" priority="13" stopIfTrue="1" operator="equal">
      <formula>"o"</formula>
    </cfRule>
    <cfRule type="cellIs" dxfId="10" priority="14" stopIfTrue="1" operator="equal">
      <formula>"p"</formula>
    </cfRule>
    <cfRule type="cellIs" dxfId="9" priority="15" stopIfTrue="1" operator="equal">
      <formula>"m"</formula>
    </cfRule>
  </conditionalFormatting>
  <conditionalFormatting sqref="BN45">
    <cfRule type="cellIs" dxfId="8" priority="10" stopIfTrue="1" operator="equal">
      <formula>"o"</formula>
    </cfRule>
    <cfRule type="cellIs" dxfId="7" priority="11" stopIfTrue="1" operator="equal">
      <formula>"p"</formula>
    </cfRule>
    <cfRule type="cellIs" dxfId="6" priority="12" stopIfTrue="1" operator="equal">
      <formula>"m"</formula>
    </cfRule>
  </conditionalFormatting>
  <conditionalFormatting sqref="BO45">
    <cfRule type="cellIs" dxfId="5" priority="7" stopIfTrue="1" operator="equal">
      <formula>"o"</formula>
    </cfRule>
    <cfRule type="cellIs" dxfId="4" priority="8" stopIfTrue="1" operator="equal">
      <formula>"p"</formula>
    </cfRule>
    <cfRule type="cellIs" dxfId="3" priority="9" stopIfTrue="1" operator="equal">
      <formula>"m"</formula>
    </cfRule>
  </conditionalFormatting>
  <conditionalFormatting sqref="BP45">
    <cfRule type="cellIs" dxfId="2" priority="4" stopIfTrue="1" operator="equal">
      <formula>"o"</formula>
    </cfRule>
    <cfRule type="cellIs" dxfId="1" priority="5" stopIfTrue="1" operator="equal">
      <formula>"p"</formula>
    </cfRule>
    <cfRule type="cellIs" dxfId="0" priority="6" stopIfTrue="1" operator="equal">
      <formula>"m"</formula>
    </cfRule>
  </conditionalFormatting>
  <dataValidations xWindow="1075" yWindow="503" count="5">
    <dataValidation allowBlank="1" showInputMessage="1" showErrorMessage="1" prompt="IID has same rate all year. No difference for summer and winter" sqref="BN33:BY34"/>
    <dataValidation allowBlank="1" showInputMessage="1" showErrorMessage="1" promptTitle="Shared chargers" prompt="1 means each vehicle has a charger_x000a_8 means 8 vehicles can use the same charger in an hour_x000a_" sqref="I9:I16"/>
    <dataValidation type="list" allowBlank="1" showInputMessage="1" showErrorMessage="1" sqref="CD77:CD78">
      <formula1>"TOU,Tier"</formula1>
    </dataValidation>
    <dataValidation allowBlank="1" showInputMessage="1" showErrorMessage="1" prompt="Enter N/A or any whole number" sqref="CC33:CC78"/>
    <dataValidation type="list" allowBlank="1" showInputMessage="1" showErrorMessage="1" sqref="CD33:CD76">
      <formula1>"TOU,Tier,Subscription"</formula1>
    </dataValidation>
  </dataValidations>
  <pageMargins left="0.7" right="0.7" top="0.75" bottom="0.75" header="0.3" footer="0.3"/>
  <pageSetup scale="39"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Rate Calculator</vt:lpstr>
      <vt:lpstr>Monthly Rate Calculator</vt:lpstr>
      <vt:lpstr>Data</vt:lpstr>
      <vt:lpstr>Intro!Print_Area</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Williams;Paul Arneja;Tony Brasil</dc:creator>
  <cp:lastModifiedBy>Paul Ameja</cp:lastModifiedBy>
  <cp:lastPrinted>2018-07-23T22:06:58Z</cp:lastPrinted>
  <dcterms:created xsi:type="dcterms:W3CDTF">2015-11-22T04:55:40Z</dcterms:created>
  <dcterms:modified xsi:type="dcterms:W3CDTF">2019-02-01T20:13:13Z</dcterms:modified>
</cp:coreProperties>
</file>