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U:\_Environmental\Air\Engines\POSD\ACE Application\ACE Revision October 2025\"/>
    </mc:Choice>
  </mc:AlternateContent>
  <xr:revisionPtr revIDLastSave="0" documentId="8_{BE007D3F-F5B6-432A-9B16-B43D4BFE6B91}" xr6:coauthVersionLast="47" xr6:coauthVersionMax="47" xr10:uidLastSave="{00000000-0000-0000-0000-000000000000}"/>
  <bookViews>
    <workbookView xWindow="28680" yWindow="270" windowWidth="25440" windowHeight="15270" xr2:uid="{C1FDF2B6-9327-4038-B0CE-3BE68692AFAD}"/>
  </bookViews>
  <sheets>
    <sheet name="E_POSD_mid2026&amp;Crane(40_1600)" sheetId="8" r:id="rId1"/>
  </sheets>
  <definedNames>
    <definedName name="_xlnm._FilterDatabase" localSheetId="0" hidden="1">'E_POSD_mid2026&amp;Crane(40_1600)'!$E$33:$I$33</definedName>
    <definedName name="_xlnm.Print_Area" localSheetId="0">'E_POSD_mid2026&amp;Crane(40_1600)'!$A$1:$O$294</definedName>
    <definedName name="TierSTD" localSheetId="0">'E_POSD_mid2026&amp;Crane(40_1600)'!$I$99:$I$99</definedName>
    <definedName name="TierSTD">#REF!</definedName>
    <definedName name="Useful_Life">'E_POSD_mid2026&amp;Crane(40_1600)'!$F$166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8" l="1"/>
  <c r="G53" i="8"/>
  <c r="G52" i="8"/>
  <c r="G63" i="8"/>
  <c r="G62" i="8"/>
  <c r="G73" i="8"/>
  <c r="H66" i="8" s="1"/>
  <c r="I73" i="8"/>
  <c r="E75" i="8"/>
  <c r="F75" i="8" s="1"/>
  <c r="G75" i="8" s="1"/>
  <c r="E74" i="8"/>
  <c r="F74" i="8" s="1"/>
  <c r="E29" i="8"/>
  <c r="F29" i="8" s="1"/>
  <c r="G29" i="8" s="1"/>
  <c r="H29" i="8" s="1"/>
  <c r="I29" i="8" s="1"/>
  <c r="E28" i="8"/>
  <c r="F28" i="8" s="1"/>
  <c r="G28" i="8" s="1"/>
  <c r="H28" i="8" s="1"/>
  <c r="I28" i="8" s="1"/>
  <c r="K3" i="8"/>
  <c r="L3" i="8" s="1"/>
  <c r="M3" i="8" s="1"/>
  <c r="N3" i="8" s="1"/>
  <c r="O3" i="8" s="1"/>
  <c r="F3" i="8"/>
  <c r="G3" i="8" s="1"/>
  <c r="H3" i="8" s="1"/>
  <c r="I3" i="8" s="1"/>
  <c r="G204" i="8"/>
  <c r="G202" i="8"/>
  <c r="G101" i="8"/>
  <c r="H52" i="8" l="1"/>
  <c r="H53" i="8"/>
  <c r="G74" i="8"/>
  <c r="H74" i="8" s="1"/>
  <c r="I74" i="8" s="1"/>
  <c r="J74" i="8" s="1"/>
  <c r="K74" i="8" s="1"/>
  <c r="L74" i="8" s="1"/>
  <c r="M74" i="8" s="1"/>
  <c r="N74" i="8" s="1"/>
  <c r="O74" i="8" s="1"/>
  <c r="H75" i="8"/>
  <c r="I75" i="8" s="1"/>
  <c r="J75" i="8" s="1"/>
  <c r="K75" i="8" s="1"/>
  <c r="L75" i="8" s="1"/>
  <c r="M75" i="8" s="1"/>
  <c r="N75" i="8" s="1"/>
  <c r="O75" i="8" s="1"/>
  <c r="E62" i="8"/>
  <c r="E16" i="8" s="1"/>
  <c r="F6" i="8" s="1"/>
  <c r="E63" i="8"/>
  <c r="D66" i="8"/>
  <c r="F20" i="8"/>
  <c r="D27" i="8"/>
  <c r="D73" i="8" s="1"/>
  <c r="G241" i="8"/>
  <c r="J21" i="8" s="1"/>
  <c r="G243" i="8"/>
  <c r="J24" i="8" s="1"/>
  <c r="D52" i="8"/>
  <c r="J99" i="8"/>
  <c r="E100" i="8" s="1"/>
  <c r="G54" i="8" s="1"/>
  <c r="G55" i="8" s="1"/>
  <c r="E73" i="8"/>
  <c r="G57" i="8" l="1"/>
  <c r="G78" i="8" s="1"/>
  <c r="G56" i="8"/>
  <c r="G77" i="8" s="1"/>
  <c r="J25" i="8"/>
  <c r="J26" i="8" s="1"/>
  <c r="J22" i="8"/>
  <c r="J23" i="8" s="1"/>
  <c r="D62" i="8"/>
  <c r="D16" i="8" s="1"/>
  <c r="G20" i="8"/>
  <c r="G6" i="8"/>
  <c r="F66" i="8"/>
  <c r="G70" i="8"/>
  <c r="F70" i="8"/>
  <c r="F71" i="8" s="1"/>
  <c r="E70" i="8"/>
  <c r="E71" i="8" s="1"/>
  <c r="D70" i="8"/>
  <c r="D71" i="8" s="1"/>
  <c r="E66" i="8"/>
  <c r="F67" i="8"/>
  <c r="F68" i="8" s="1"/>
  <c r="E67" i="8"/>
  <c r="E68" i="8" s="1"/>
  <c r="D67" i="8"/>
  <c r="D68" i="8" s="1"/>
  <c r="D24" i="8"/>
  <c r="D21" i="8"/>
  <c r="G71" i="8" l="1"/>
  <c r="G72" i="8" s="1"/>
  <c r="G83" i="8" s="1"/>
  <c r="F69" i="8"/>
  <c r="F72" i="8"/>
  <c r="E69" i="8"/>
  <c r="E72" i="8"/>
  <c r="D69" i="8"/>
  <c r="D79" i="8" s="1"/>
  <c r="D72" i="8"/>
  <c r="D22" i="8"/>
  <c r="D23" i="8" s="1"/>
  <c r="D25" i="8"/>
  <c r="D26" i="8" s="1"/>
  <c r="H6" i="8"/>
  <c r="D83" i="8"/>
  <c r="E17" i="8"/>
  <c r="F7" i="8" s="1"/>
  <c r="G7" i="8" l="1"/>
  <c r="D53" i="8"/>
  <c r="D63" i="8" l="1"/>
  <c r="D17" i="8" s="1"/>
  <c r="I21" i="8" l="1"/>
  <c r="I22" i="8" s="1"/>
  <c r="I24" i="8" l="1"/>
  <c r="I25" i="8" s="1"/>
  <c r="H24" i="8"/>
  <c r="H25" i="8" s="1"/>
  <c r="G24" i="8"/>
  <c r="F24" i="8"/>
  <c r="E24" i="8"/>
  <c r="E25" i="8" l="1"/>
  <c r="E26" i="8" s="1"/>
  <c r="F25" i="8"/>
  <c r="F26" i="8" s="1"/>
  <c r="G25" i="8"/>
  <c r="G26" i="8" s="1"/>
  <c r="D37" i="8"/>
  <c r="H21" i="8" l="1"/>
  <c r="H22" i="8" s="1"/>
  <c r="G21" i="8"/>
  <c r="F21" i="8"/>
  <c r="E21" i="8"/>
  <c r="G22" i="8" l="1"/>
  <c r="G23" i="8" s="1"/>
  <c r="E22" i="8"/>
  <c r="E23" i="8" s="1"/>
  <c r="F22" i="8"/>
  <c r="F23" i="8" s="1"/>
  <c r="D33" i="8"/>
  <c r="O8" i="8"/>
  <c r="O9" i="8" s="1"/>
  <c r="N8" i="8"/>
  <c r="N9" i="8" s="1"/>
  <c r="M8" i="8"/>
  <c r="M9" i="8" s="1"/>
  <c r="L8" i="8"/>
  <c r="L9" i="8" s="1"/>
  <c r="K8" i="8"/>
  <c r="K9" i="8" s="1"/>
  <c r="J8" i="8"/>
  <c r="J9" i="8" s="1"/>
  <c r="I8" i="8"/>
  <c r="I9" i="8" s="1"/>
  <c r="H8" i="8"/>
  <c r="G8" i="8"/>
  <c r="F8" i="8"/>
  <c r="E8" i="8"/>
  <c r="L99" i="8"/>
  <c r="F9" i="8" l="1"/>
  <c r="F11" i="8" s="1"/>
  <c r="F32" i="8" s="1"/>
  <c r="G9" i="8"/>
  <c r="G10" i="8" s="1"/>
  <c r="G31" i="8" s="1"/>
  <c r="E9" i="8"/>
  <c r="E10" i="8" s="1"/>
  <c r="H9" i="8"/>
  <c r="H10" i="8"/>
  <c r="H31" i="8" s="1"/>
  <c r="E33" i="8"/>
  <c r="E101" i="8"/>
  <c r="G58" i="8" s="1"/>
  <c r="H7" i="8"/>
  <c r="E54" i="8"/>
  <c r="I54" i="8"/>
  <c r="I55" i="8" s="1"/>
  <c r="O54" i="8"/>
  <c r="O55" i="8" s="1"/>
  <c r="N54" i="8"/>
  <c r="N55" i="8" s="1"/>
  <c r="M54" i="8"/>
  <c r="M55" i="8" s="1"/>
  <c r="L54" i="8"/>
  <c r="L55" i="8" s="1"/>
  <c r="K54" i="8"/>
  <c r="K55" i="8" s="1"/>
  <c r="H54" i="8"/>
  <c r="F54" i="8"/>
  <c r="J54" i="8"/>
  <c r="J55" i="8" s="1"/>
  <c r="D54" i="8"/>
  <c r="D8" i="8"/>
  <c r="I6" i="8"/>
  <c r="G11" i="8" l="1"/>
  <c r="G32" i="8" s="1"/>
  <c r="E11" i="8"/>
  <c r="F10" i="8"/>
  <c r="F31" i="8" s="1"/>
  <c r="I10" i="8"/>
  <c r="I31" i="8" s="1"/>
  <c r="E55" i="8"/>
  <c r="E57" i="8" s="1"/>
  <c r="E56" i="8"/>
  <c r="H11" i="8"/>
  <c r="H32" i="8" s="1"/>
  <c r="H55" i="8"/>
  <c r="H56" i="8" s="1"/>
  <c r="G59" i="8"/>
  <c r="G60" i="8" s="1"/>
  <c r="G81" i="8" s="1"/>
  <c r="G84" i="8" s="1"/>
  <c r="G61" i="8"/>
  <c r="G82" i="8" s="1"/>
  <c r="F55" i="8"/>
  <c r="F57" i="8" s="1"/>
  <c r="F78" i="8" s="1"/>
  <c r="D9" i="8"/>
  <c r="D11" i="8" s="1"/>
  <c r="D55" i="8"/>
  <c r="D56" i="8" s="1"/>
  <c r="I7" i="8"/>
  <c r="J7" i="8" s="1"/>
  <c r="E31" i="8"/>
  <c r="I58" i="8"/>
  <c r="I59" i="8" s="1"/>
  <c r="F58" i="8"/>
  <c r="D12" i="8"/>
  <c r="N58" i="8"/>
  <c r="N59" i="8" s="1"/>
  <c r="H58" i="8"/>
  <c r="L58" i="8"/>
  <c r="L59" i="8" s="1"/>
  <c r="J58" i="8"/>
  <c r="J59" i="8" s="1"/>
  <c r="O58" i="8"/>
  <c r="O59" i="8" s="1"/>
  <c r="D58" i="8"/>
  <c r="M58" i="8"/>
  <c r="M59" i="8" s="1"/>
  <c r="E58" i="8"/>
  <c r="K58" i="8"/>
  <c r="K59" i="8" s="1"/>
  <c r="E32" i="8"/>
  <c r="J6" i="8"/>
  <c r="F56" i="8" l="1"/>
  <c r="F59" i="8"/>
  <c r="F60" i="8" s="1"/>
  <c r="F81" i="8" s="1"/>
  <c r="F61" i="8"/>
  <c r="F82" i="8" s="1"/>
  <c r="D57" i="8"/>
  <c r="D78" i="8" s="1"/>
  <c r="D59" i="8"/>
  <c r="D60" i="8"/>
  <c r="D81" i="8" s="1"/>
  <c r="D61" i="8"/>
  <c r="D82" i="8" s="1"/>
  <c r="D10" i="8"/>
  <c r="D13" i="8"/>
  <c r="D15" i="8" s="1"/>
  <c r="J11" i="8"/>
  <c r="J32" i="8" s="1"/>
  <c r="I11" i="8"/>
  <c r="I32" i="8" s="1"/>
  <c r="E59" i="8"/>
  <c r="E60" i="8" s="1"/>
  <c r="E81" i="8" s="1"/>
  <c r="J10" i="8"/>
  <c r="J31" i="8" s="1"/>
  <c r="H59" i="8"/>
  <c r="H60" i="8" s="1"/>
  <c r="E78" i="8"/>
  <c r="E77" i="8"/>
  <c r="K7" i="8"/>
  <c r="D77" i="8"/>
  <c r="F77" i="8"/>
  <c r="K6" i="8"/>
  <c r="D80" i="8" l="1"/>
  <c r="D84" i="8"/>
  <c r="E61" i="8"/>
  <c r="E82" i="8" s="1"/>
  <c r="K11" i="8"/>
  <c r="K32" i="8" s="1"/>
  <c r="D14" i="8"/>
  <c r="D35" i="8" s="1"/>
  <c r="K10" i="8"/>
  <c r="K31" i="8" s="1"/>
  <c r="D36" i="8"/>
  <c r="D32" i="8"/>
  <c r="L7" i="8"/>
  <c r="L6" i="8"/>
  <c r="L11" i="8" l="1"/>
  <c r="L32" i="8" s="1"/>
  <c r="L10" i="8"/>
  <c r="L31" i="8" s="1"/>
  <c r="M7" i="8"/>
  <c r="M6" i="8"/>
  <c r="M10" i="8" l="1"/>
  <c r="M31" i="8" s="1"/>
  <c r="M11" i="8"/>
  <c r="M32" i="8" s="1"/>
  <c r="N7" i="8"/>
  <c r="N6" i="8"/>
  <c r="N10" i="8" l="1"/>
  <c r="N31" i="8" s="1"/>
  <c r="N11" i="8"/>
  <c r="N32" i="8" s="1"/>
  <c r="O7" i="8"/>
  <c r="O6" i="8"/>
  <c r="O11" i="8" l="1"/>
  <c r="O32" i="8" s="1"/>
  <c r="O10" i="8"/>
  <c r="O31" i="8" s="1"/>
  <c r="H73" i="8"/>
  <c r="O73" i="8"/>
  <c r="N73" i="8"/>
  <c r="M73" i="8"/>
  <c r="L73" i="8"/>
  <c r="K73" i="8"/>
  <c r="J73" i="8"/>
  <c r="E79" i="8"/>
  <c r="O63" i="8"/>
  <c r="N63" i="8"/>
  <c r="M63" i="8"/>
  <c r="L63" i="8"/>
  <c r="K63" i="8"/>
  <c r="J63" i="8"/>
  <c r="I63" i="8"/>
  <c r="H63" i="8"/>
  <c r="O62" i="8"/>
  <c r="N62" i="8"/>
  <c r="M62" i="8"/>
  <c r="L62" i="8"/>
  <c r="K62" i="8"/>
  <c r="J62" i="8"/>
  <c r="I62" i="8"/>
  <c r="H62" i="8"/>
  <c r="L70" i="8" l="1"/>
  <c r="L71" i="8" s="1"/>
  <c r="K70" i="8"/>
  <c r="K71" i="8" s="1"/>
  <c r="M70" i="8"/>
  <c r="M71" i="8" s="1"/>
  <c r="J70" i="8"/>
  <c r="J71" i="8" s="1"/>
  <c r="H70" i="8"/>
  <c r="H71" i="8" s="1"/>
  <c r="N70" i="8"/>
  <c r="N71" i="8" s="1"/>
  <c r="I70" i="8"/>
  <c r="I71" i="8" s="1"/>
  <c r="O70" i="8"/>
  <c r="O71" i="8" s="1"/>
  <c r="N67" i="8"/>
  <c r="N68" i="8" s="1"/>
  <c r="M67" i="8"/>
  <c r="M68" i="8" s="1"/>
  <c r="H67" i="8"/>
  <c r="H68" i="8" s="1"/>
  <c r="L67" i="8"/>
  <c r="L68" i="8" s="1"/>
  <c r="K67" i="8"/>
  <c r="K68" i="8" s="1"/>
  <c r="I67" i="8"/>
  <c r="I68" i="8" s="1"/>
  <c r="G67" i="8"/>
  <c r="O67" i="8"/>
  <c r="O68" i="8" s="1"/>
  <c r="J67" i="8"/>
  <c r="J68" i="8" s="1"/>
  <c r="H81" i="8"/>
  <c r="O21" i="8"/>
  <c r="O22" i="8" s="1"/>
  <c r="N21" i="8"/>
  <c r="N22" i="8" s="1"/>
  <c r="M21" i="8"/>
  <c r="M22" i="8" s="1"/>
  <c r="L21" i="8"/>
  <c r="L22" i="8" s="1"/>
  <c r="K21" i="8"/>
  <c r="K22" i="8" s="1"/>
  <c r="N24" i="8"/>
  <c r="N25" i="8" s="1"/>
  <c r="M24" i="8"/>
  <c r="M25" i="8" s="1"/>
  <c r="L24" i="8"/>
  <c r="L25" i="8" s="1"/>
  <c r="K24" i="8"/>
  <c r="K25" i="8" s="1"/>
  <c r="O24" i="8"/>
  <c r="O25" i="8" s="1"/>
  <c r="I12" i="8"/>
  <c r="H12" i="8"/>
  <c r="K12" i="8"/>
  <c r="F12" i="8"/>
  <c r="E12" i="8"/>
  <c r="M12" i="8"/>
  <c r="O12" i="8"/>
  <c r="N12" i="8"/>
  <c r="L12" i="8"/>
  <c r="J12" i="8"/>
  <c r="G12" i="8"/>
  <c r="E37" i="8"/>
  <c r="G27" i="8"/>
  <c r="E83" i="8"/>
  <c r="E84" i="8" s="1"/>
  <c r="G68" i="8" l="1"/>
  <c r="G69" i="8" s="1"/>
  <c r="G79" i="8" s="1"/>
  <c r="G80" i="8" s="1"/>
  <c r="I66" i="8"/>
  <c r="H72" i="8"/>
  <c r="H69" i="8"/>
  <c r="I13" i="8"/>
  <c r="I14" i="8"/>
  <c r="I15" i="8"/>
  <c r="G13" i="8"/>
  <c r="G14" i="8" s="1"/>
  <c r="G15" i="8"/>
  <c r="M13" i="8"/>
  <c r="M14" i="8"/>
  <c r="M15" i="8"/>
  <c r="H61" i="8"/>
  <c r="H82" i="8" s="1"/>
  <c r="H57" i="8"/>
  <c r="H78" i="8" s="1"/>
  <c r="L13" i="8"/>
  <c r="L15" i="8" s="1"/>
  <c r="O13" i="8"/>
  <c r="O15" i="8" s="1"/>
  <c r="J13" i="8"/>
  <c r="J15" i="8" s="1"/>
  <c r="N13" i="8"/>
  <c r="N15" i="8" s="1"/>
  <c r="E13" i="8"/>
  <c r="E14" i="8" s="1"/>
  <c r="F13" i="8"/>
  <c r="F14" i="8"/>
  <c r="F15" i="8"/>
  <c r="K13" i="8"/>
  <c r="K14" i="8" s="1"/>
  <c r="K15" i="8"/>
  <c r="H13" i="8"/>
  <c r="H14" i="8" s="1"/>
  <c r="F37" i="8"/>
  <c r="I53" i="8"/>
  <c r="I52" i="8"/>
  <c r="H77" i="8"/>
  <c r="E34" i="8"/>
  <c r="H27" i="8"/>
  <c r="N14" i="8" l="1"/>
  <c r="N35" i="8" s="1"/>
  <c r="E15" i="8"/>
  <c r="E36" i="8" s="1"/>
  <c r="J14" i="8"/>
  <c r="J35" i="8" s="1"/>
  <c r="H15" i="8"/>
  <c r="L14" i="8"/>
  <c r="L35" i="8" s="1"/>
  <c r="I69" i="8"/>
  <c r="I79" i="8" s="1"/>
  <c r="I72" i="8"/>
  <c r="I57" i="8"/>
  <c r="I78" i="8" s="1"/>
  <c r="I61" i="8"/>
  <c r="I82" i="8" s="1"/>
  <c r="I56" i="8"/>
  <c r="I77" i="8" s="1"/>
  <c r="I60" i="8"/>
  <c r="I81" i="8" s="1"/>
  <c r="O14" i="8"/>
  <c r="O35" i="8" s="1"/>
  <c r="I36" i="8"/>
  <c r="M36" i="8"/>
  <c r="H35" i="8"/>
  <c r="F36" i="8"/>
  <c r="F35" i="8"/>
  <c r="N36" i="8"/>
  <c r="M35" i="8"/>
  <c r="O36" i="8"/>
  <c r="L36" i="8"/>
  <c r="K36" i="8"/>
  <c r="J36" i="8"/>
  <c r="E35" i="8"/>
  <c r="G35" i="8"/>
  <c r="G37" i="8"/>
  <c r="F79" i="8"/>
  <c r="F80" i="8" s="1"/>
  <c r="F83" i="8"/>
  <c r="F84" i="8" s="1"/>
  <c r="H83" i="8"/>
  <c r="H84" i="8" s="1"/>
  <c r="G36" i="8"/>
  <c r="J52" i="8"/>
  <c r="J53" i="8"/>
  <c r="D38" i="8"/>
  <c r="F33" i="8"/>
  <c r="F34" i="8" s="1"/>
  <c r="H20" i="8"/>
  <c r="H36" i="8"/>
  <c r="I35" i="8"/>
  <c r="K35" i="8"/>
  <c r="D31" i="8"/>
  <c r="D34" i="8" s="1"/>
  <c r="I27" i="8"/>
  <c r="E80" i="8"/>
  <c r="E38" i="8" l="1"/>
  <c r="J61" i="8"/>
  <c r="J82" i="8" s="1"/>
  <c r="J57" i="8"/>
  <c r="J78" i="8" s="1"/>
  <c r="J60" i="8"/>
  <c r="J81" i="8" s="1"/>
  <c r="J56" i="8"/>
  <c r="J77" i="8" s="1"/>
  <c r="H26" i="8"/>
  <c r="H37" i="8" s="1"/>
  <c r="H38" i="8" s="1"/>
  <c r="H23" i="8"/>
  <c r="G38" i="8"/>
  <c r="F38" i="8"/>
  <c r="H79" i="8"/>
  <c r="H80" i="8" s="1"/>
  <c r="J66" i="8"/>
  <c r="I83" i="8"/>
  <c r="I84" i="8" s="1"/>
  <c r="I80" i="8"/>
  <c r="K53" i="8"/>
  <c r="K52" i="8"/>
  <c r="G33" i="8"/>
  <c r="G34" i="8" s="1"/>
  <c r="I20" i="8"/>
  <c r="J27" i="8"/>
  <c r="J69" i="8" l="1"/>
  <c r="J79" i="8" s="1"/>
  <c r="J80" i="8" s="1"/>
  <c r="J72" i="8"/>
  <c r="J83" i="8" s="1"/>
  <c r="J84" i="8" s="1"/>
  <c r="I26" i="8"/>
  <c r="I37" i="8" s="1"/>
  <c r="I38" i="8" s="1"/>
  <c r="I23" i="8"/>
  <c r="K60" i="8"/>
  <c r="K81" i="8" s="1"/>
  <c r="K56" i="8"/>
  <c r="K77" i="8" s="1"/>
  <c r="K61" i="8"/>
  <c r="K82" i="8" s="1"/>
  <c r="K57" i="8"/>
  <c r="K78" i="8" s="1"/>
  <c r="J33" i="8"/>
  <c r="J34" i="8" s="1"/>
  <c r="J37" i="8"/>
  <c r="J38" i="8" s="1"/>
  <c r="K66" i="8"/>
  <c r="L52" i="8"/>
  <c r="L53" i="8"/>
  <c r="H33" i="8"/>
  <c r="H34" i="8" s="1"/>
  <c r="K20" i="8"/>
  <c r="K27" i="8"/>
  <c r="K72" i="8" l="1"/>
  <c r="K83" i="8" s="1"/>
  <c r="K84" i="8" s="1"/>
  <c r="K69" i="8"/>
  <c r="K79" i="8" s="1"/>
  <c r="K80" i="8" s="1"/>
  <c r="L56" i="8"/>
  <c r="L77" i="8" s="1"/>
  <c r="L60" i="8"/>
  <c r="L81" i="8" s="1"/>
  <c r="K26" i="8"/>
  <c r="K37" i="8" s="1"/>
  <c r="K38" i="8" s="1"/>
  <c r="K23" i="8"/>
  <c r="K33" i="8" s="1"/>
  <c r="K34" i="8" s="1"/>
  <c r="L61" i="8"/>
  <c r="L82" i="8" s="1"/>
  <c r="L57" i="8"/>
  <c r="L78" i="8" s="1"/>
  <c r="L66" i="8"/>
  <c r="M53" i="8"/>
  <c r="M52" i="8"/>
  <c r="I33" i="8"/>
  <c r="I34" i="8" s="1"/>
  <c r="L20" i="8"/>
  <c r="L27" i="8"/>
  <c r="L69" i="8" l="1"/>
  <c r="L79" i="8" s="1"/>
  <c r="L80" i="8" s="1"/>
  <c r="L72" i="8"/>
  <c r="L83" i="8" s="1"/>
  <c r="L84" i="8" s="1"/>
  <c r="M60" i="8"/>
  <c r="M81" i="8" s="1"/>
  <c r="M56" i="8"/>
  <c r="M77" i="8" s="1"/>
  <c r="M57" i="8"/>
  <c r="M78" i="8" s="1"/>
  <c r="M61" i="8"/>
  <c r="M82" i="8" s="1"/>
  <c r="L23" i="8"/>
  <c r="L26" i="8"/>
  <c r="L37" i="8" s="1"/>
  <c r="L38" i="8" s="1"/>
  <c r="M66" i="8"/>
  <c r="N52" i="8"/>
  <c r="N53" i="8"/>
  <c r="M20" i="8"/>
  <c r="M27" i="8"/>
  <c r="M69" i="8" l="1"/>
  <c r="M79" i="8" s="1"/>
  <c r="M80" i="8" s="1"/>
  <c r="M72" i="8"/>
  <c r="M83" i="8" s="1"/>
  <c r="M84" i="8" s="1"/>
  <c r="N57" i="8"/>
  <c r="N78" i="8" s="1"/>
  <c r="N61" i="8"/>
  <c r="N82" i="8" s="1"/>
  <c r="N56" i="8"/>
  <c r="N77" i="8" s="1"/>
  <c r="N60" i="8"/>
  <c r="N81" i="8" s="1"/>
  <c r="M23" i="8"/>
  <c r="M33" i="8" s="1"/>
  <c r="M34" i="8" s="1"/>
  <c r="M26" i="8"/>
  <c r="M37" i="8" s="1"/>
  <c r="M38" i="8" s="1"/>
  <c r="N66" i="8"/>
  <c r="O53" i="8"/>
  <c r="O52" i="8"/>
  <c r="L33" i="8"/>
  <c r="L34" i="8" s="1"/>
  <c r="N20" i="8"/>
  <c r="N27" i="8"/>
  <c r="N72" i="8" l="1"/>
  <c r="N83" i="8" s="1"/>
  <c r="N84" i="8" s="1"/>
  <c r="N69" i="8"/>
  <c r="N79" i="8" s="1"/>
  <c r="N80" i="8" s="1"/>
  <c r="O60" i="8"/>
  <c r="O81" i="8" s="1"/>
  <c r="O56" i="8"/>
  <c r="O77" i="8" s="1"/>
  <c r="O61" i="8"/>
  <c r="O82" i="8" s="1"/>
  <c r="O57" i="8"/>
  <c r="O78" i="8" s="1"/>
  <c r="N26" i="8"/>
  <c r="N37" i="8" s="1"/>
  <c r="N38" i="8" s="1"/>
  <c r="N23" i="8"/>
  <c r="N33" i="8" s="1"/>
  <c r="N34" i="8" s="1"/>
  <c r="O66" i="8"/>
  <c r="O20" i="8"/>
  <c r="O27" i="8"/>
  <c r="O72" i="8" l="1"/>
  <c r="O83" i="8" s="1"/>
  <c r="O84" i="8" s="1"/>
  <c r="L92" i="8" s="1"/>
  <c r="M92" i="8" s="1"/>
  <c r="O69" i="8"/>
  <c r="O79" i="8" s="1"/>
  <c r="O80" i="8" s="1"/>
  <c r="O23" i="8"/>
  <c r="O33" i="8" s="1"/>
  <c r="O34" i="8" s="1"/>
  <c r="L87" i="8" s="1"/>
  <c r="M87" i="8" s="1"/>
  <c r="O26" i="8"/>
  <c r="O37" i="8" s="1"/>
  <c r="O38" i="8" s="1"/>
  <c r="L91" i="8" s="1"/>
  <c r="M91" i="8" s="1"/>
  <c r="L93" i="8" l="1"/>
  <c r="M93" i="8" s="1"/>
  <c r="L88" i="8"/>
  <c r="L89" i="8" l="1"/>
  <c r="M89" i="8" s="1"/>
  <c r="M8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Rodriguez</author>
  </authors>
  <commentList>
    <comment ref="C6" authorId="0" shapeId="0" xr:uid="{18B73457-857A-4456-B089-CDD2F226DF0D}">
      <text>
        <r>
          <rPr>
            <b/>
            <sz val="9"/>
            <color indexed="81"/>
            <rFont val="Tahoma"/>
            <charset val="1"/>
          </rPr>
          <t>Jorge Rodriguez:</t>
        </r>
        <r>
          <rPr>
            <sz val="9"/>
            <color indexed="81"/>
            <rFont val="Tahoma"/>
            <charset val="1"/>
          </rPr>
          <t xml:space="preserve">
Engine S/N: 16E0007583</t>
        </r>
      </text>
    </comment>
    <comment ref="C7" authorId="0" shapeId="0" xr:uid="{D46E4303-86A1-4739-8B2B-F535C3868477}">
      <text>
        <r>
          <rPr>
            <b/>
            <sz val="9"/>
            <color indexed="81"/>
            <rFont val="Tahoma"/>
            <charset val="1"/>
          </rPr>
          <t>Jorge Rodriguez:</t>
        </r>
        <r>
          <rPr>
            <sz val="9"/>
            <color indexed="81"/>
            <rFont val="Tahoma"/>
            <charset val="1"/>
          </rPr>
          <t xml:space="preserve">
Engine S/N: 16E0007582</t>
        </r>
      </text>
    </comment>
    <comment ref="C16" authorId="0" shapeId="0" xr:uid="{F304E240-E8C5-4B5C-AC12-0CE20EC68189}">
      <text>
        <r>
          <rPr>
            <b/>
            <sz val="9"/>
            <color indexed="81"/>
            <rFont val="Tahoma"/>
            <family val="2"/>
          </rPr>
          <t>BAE:</t>
        </r>
        <r>
          <rPr>
            <sz val="9"/>
            <color indexed="81"/>
            <rFont val="Tahoma"/>
            <family val="2"/>
          </rPr>
          <t xml:space="preserve">
Red font denotes actual hours. Blue are estimated.</t>
        </r>
      </text>
    </comment>
    <comment ref="C17" authorId="0" shapeId="0" xr:uid="{C074B4F7-4AC2-4D19-86BB-FD633BF7F20D}">
      <text>
        <r>
          <rPr>
            <b/>
            <sz val="9"/>
            <color indexed="81"/>
            <rFont val="Tahoma"/>
            <family val="2"/>
          </rPr>
          <t xml:space="preserve">BAE:
</t>
        </r>
        <r>
          <rPr>
            <sz val="9"/>
            <color indexed="81"/>
            <rFont val="Tahoma"/>
            <family val="2"/>
          </rPr>
          <t>Red font denotes actual hours. Blue are estimated.</t>
        </r>
      </text>
    </comment>
    <comment ref="C27" authorId="0" shapeId="0" xr:uid="{3A38EC47-B771-46E1-8C3B-CD5F26DC88E9}">
      <text>
        <r>
          <rPr>
            <b/>
            <sz val="9"/>
            <color indexed="81"/>
            <rFont val="Tahoma"/>
            <family val="2"/>
          </rPr>
          <t xml:space="preserve">BAE:
</t>
        </r>
        <r>
          <rPr>
            <sz val="9"/>
            <color indexed="81"/>
            <rFont val="Tahoma"/>
            <family val="2"/>
          </rPr>
          <t>Red font denotes actual hours. Blue are estimated.</t>
        </r>
      </text>
    </comment>
    <comment ref="C62" authorId="0" shapeId="0" xr:uid="{B0E40430-EA0B-4E5C-8DD0-9B706F84FFCE}">
      <text>
        <r>
          <rPr>
            <b/>
            <sz val="9"/>
            <color indexed="81"/>
            <rFont val="Tahoma"/>
            <family val="2"/>
          </rPr>
          <t>BAE:</t>
        </r>
        <r>
          <rPr>
            <sz val="9"/>
            <color indexed="81"/>
            <rFont val="Tahoma"/>
            <family val="2"/>
          </rPr>
          <t xml:space="preserve">
Red font denotes actual hours. Blue are estimated.</t>
        </r>
      </text>
    </comment>
    <comment ref="C63" authorId="0" shapeId="0" xr:uid="{24DB6D3B-E869-4220-9264-D13945F4B030}">
      <text>
        <r>
          <rPr>
            <b/>
            <sz val="9"/>
            <color indexed="81"/>
            <rFont val="Tahoma"/>
            <family val="2"/>
          </rPr>
          <t xml:space="preserve">BAE:
</t>
        </r>
        <r>
          <rPr>
            <sz val="9"/>
            <color indexed="81"/>
            <rFont val="Tahoma"/>
            <family val="2"/>
          </rPr>
          <t>Red font denotes actual hours. Blue are estimated.</t>
        </r>
      </text>
    </comment>
    <comment ref="C73" authorId="0" shapeId="0" xr:uid="{B916DB0E-F2D3-44EC-86FE-DDDA551DC848}">
      <text>
        <r>
          <rPr>
            <b/>
            <sz val="9"/>
            <color indexed="81"/>
            <rFont val="Tahoma"/>
            <family val="2"/>
          </rPr>
          <t xml:space="preserve">BAE:
</t>
        </r>
        <r>
          <rPr>
            <sz val="9"/>
            <color indexed="81"/>
            <rFont val="Tahoma"/>
            <family val="2"/>
          </rPr>
          <t>Red font denotes actual hours. Blue are estimated.</t>
        </r>
      </text>
    </comment>
    <comment ref="G101" authorId="0" shapeId="0" xr:uid="{1E251230-66C2-47DA-A170-19F02995D1D9}">
      <text>
        <r>
          <rPr>
            <b/>
            <sz val="9"/>
            <color indexed="81"/>
            <rFont val="Tahoma"/>
            <family val="2"/>
          </rPr>
          <t>BAE:</t>
        </r>
        <r>
          <rPr>
            <sz val="9"/>
            <color indexed="81"/>
            <rFont val="Tahoma"/>
            <family val="2"/>
          </rPr>
          <t xml:space="preserve">
Includes 85% PM reduction</t>
        </r>
      </text>
    </comment>
  </commentList>
</comments>
</file>

<file path=xl/sharedStrings.xml><?xml version="1.0" encoding="utf-8"?>
<sst xmlns="http://schemas.openxmlformats.org/spreadsheetml/2006/main" count="211" uniqueCount="95">
  <si>
    <t>Nominal Compliance Baseline Annual Emissions</t>
  </si>
  <si>
    <t>Engine BHP</t>
  </si>
  <si>
    <t>PM EF (lb/hr)</t>
  </si>
  <si>
    <t>Year of Operation</t>
  </si>
  <si>
    <t>Pollutant</t>
  </si>
  <si>
    <t>SDAPCD Permit</t>
  </si>
  <si>
    <t>Units</t>
  </si>
  <si>
    <r>
      <t>NO</t>
    </r>
    <r>
      <rPr>
        <b/>
        <vertAlign val="subscript"/>
        <sz val="11"/>
        <rFont val="Calibri"/>
        <family val="2"/>
      </rPr>
      <t>X</t>
    </r>
  </si>
  <si>
    <t>APCD2005-PTO-030067</t>
  </si>
  <si>
    <t>APCD2005-PTO-030064</t>
  </si>
  <si>
    <t>APCD2007-PTO-962075</t>
  </si>
  <si>
    <t>Total</t>
  </si>
  <si>
    <t>PM</t>
  </si>
  <si>
    <t>for ACE Scenario</t>
  </si>
  <si>
    <t>ACE Scenario Annual Emissions</t>
  </si>
  <si>
    <t>--</t>
  </si>
  <si>
    <t>tons</t>
  </si>
  <si>
    <t>Nominal Compliance Baseline – PM Emissions (lbs.) fleet total from 2023 – 2034</t>
  </si>
  <si>
    <t>PM Emissions Reduction in lbs.</t>
  </si>
  <si>
    <r>
      <t>NO</t>
    </r>
    <r>
      <rPr>
        <b/>
        <vertAlign val="subscript"/>
        <sz val="11"/>
        <color rgb="FF000000"/>
        <rFont val="Calibri"/>
        <family val="2"/>
        <scheme val="minor"/>
      </rPr>
      <t>X</t>
    </r>
  </si>
  <si>
    <t>g/bhp-hr</t>
  </si>
  <si>
    <t>https://ww2.arb.ca.gov/resources/documents/non-road-diesel-engine-certification-tier-chart</t>
  </si>
  <si>
    <t>Source:</t>
  </si>
  <si>
    <t>NOX</t>
  </si>
  <si>
    <t>DPM</t>
  </si>
  <si>
    <r>
      <t>Renewable Diesel Reduction on PM</t>
    </r>
    <r>
      <rPr>
        <b/>
        <vertAlign val="superscript"/>
        <sz val="11"/>
        <color rgb="FF7030A0"/>
        <rFont val="Calibri"/>
        <family val="2"/>
        <scheme val="minor"/>
      </rPr>
      <t>1</t>
    </r>
  </si>
  <si>
    <r>
      <t>Renewable Diesel Reduction on NO</t>
    </r>
    <r>
      <rPr>
        <b/>
        <vertAlign val="subscript"/>
        <sz val="11"/>
        <color rgb="FF7030A0"/>
        <rFont val="Calibri"/>
        <family val="2"/>
        <scheme val="minor"/>
      </rPr>
      <t>X</t>
    </r>
    <r>
      <rPr>
        <b/>
        <vertAlign val="superscript"/>
        <sz val="11"/>
        <color rgb="FF7030A0"/>
        <rFont val="Calibri"/>
        <family val="2"/>
        <scheme val="minor"/>
      </rPr>
      <t>1</t>
    </r>
  </si>
  <si>
    <t>Reference (1):</t>
  </si>
  <si>
    <t>MY Data/Tier</t>
  </si>
  <si>
    <t>https://ww2.arb.ca.gov/sites/default/files/classic/msei/ordiesel/ordas_ef_fcf_2017.pdf</t>
  </si>
  <si>
    <t>MY</t>
  </si>
  <si>
    <t>PM EF*</t>
  </si>
  <si>
    <t>CARB, Appendix H 2021 Update to the Emission Inventory for Commercial Harbor Craft: Methodology and Results, Pages H-16 to H-17</t>
  </si>
  <si>
    <r>
      <t>"Because of limited number of Tier 0 engines (also known as pre-Tier 1 engines or uncontrolled), their EFs were adopted from general off-road EFs</t>
    </r>
    <r>
      <rPr>
        <vertAlign val="superscript"/>
        <sz val="11"/>
        <color rgb="FF000000"/>
        <rFont val="Calibri"/>
        <family val="2"/>
        <scheme val="minor"/>
      </rPr>
      <t>2930</t>
    </r>
    <r>
      <rPr>
        <sz val="11"/>
        <color indexed="8"/>
        <rFont val="Calibri"/>
        <family val="2"/>
        <scheme val="minor"/>
      </rPr>
      <t>…"</t>
    </r>
  </si>
  <si>
    <t>The value used in Appendix H for NOX and PM, for Tier 0 (pre-MY1988) engines, in the HP bin of &gt;=800 is based on an average of  1969, 1971. 1979, 1984, and 1988 data.</t>
  </si>
  <si>
    <t>=AVERAGE(0.74,0.63,0.53,0.53,0.53) - See Table 2 below.</t>
  </si>
  <si>
    <t>=AVERAGE(14,13,12,11,11) - See Table 2 below.</t>
  </si>
  <si>
    <t>Annual Kobelco wingwall crane hours</t>
  </si>
  <si>
    <t>ACE Scenario – PM Emissions (lbs.) fleet total from 2023 – 2034</t>
  </si>
  <si>
    <t>https://ww2.arb.ca.gov/resources/documents/low-emission-diesel-led-study-biodiesel-and-renewable-diesel-emissions-legacy</t>
  </si>
  <si>
    <t>Convert:</t>
  </si>
  <si>
    <t>1 bhp = 0.7457 kW</t>
  </si>
  <si>
    <t>g/kW-hr</t>
  </si>
  <si>
    <t>EPA Family</t>
  </si>
  <si>
    <t>4MFTL11.9D2A</t>
  </si>
  <si>
    <t>https://www.epa.gov/sites/default/files/2018-02/nonroad-compression-ignition-archive1996-2011.xlsx</t>
  </si>
  <si>
    <t>Deterioration Factor</t>
  </si>
  <si>
    <t>Useful Hours</t>
  </si>
  <si>
    <t>CARB, CALIFORNIA’S  EMISSIONS INVENTORY FOR OFF-ROAD LARGE COMPRESSION-IGNITED (CI) ENGINES (&gt;25HP), TABLE 17</t>
  </si>
  <si>
    <t>PM Zero EF (g/bhp-hr)</t>
  </si>
  <si>
    <t>PM EF (lb/hr) - 030067</t>
  </si>
  <si>
    <t>PM EF (lb/hr) - 030064</t>
  </si>
  <si>
    <t>Drydock Engines</t>
  </si>
  <si>
    <t>Kobelco Crane Engine</t>
  </si>
  <si>
    <t>Starting Hours</t>
  </si>
  <si>
    <t>CARB, CALIFORNIA’S  EMISSIONS INVENTORY FOR OFF-ROAD LARGE COMPRESSION-IGNITED (CI) ENGINES (&gt;25HP), TABLE 18</t>
  </si>
  <si>
    <t>Fuel Correction Factor</t>
  </si>
  <si>
    <t>CARB, CALIFORNIA’S  EMISSIONS INVENTORY FOR OFF-ROAD LARGE COMPRESSION-IGNITED (CI) ENGINES (&gt;25HP), TABLE 16</t>
  </si>
  <si>
    <r>
      <t>NO</t>
    </r>
    <r>
      <rPr>
        <b/>
        <vertAlign val="subscript"/>
        <sz val="11"/>
        <color rgb="FF000000"/>
        <rFont val="Calibri"/>
        <family val="2"/>
        <scheme val="minor"/>
      </rPr>
      <t>X</t>
    </r>
    <r>
      <rPr>
        <b/>
        <sz val="11"/>
        <color indexed="8"/>
        <rFont val="Calibri"/>
        <family val="2"/>
        <scheme val="minor"/>
      </rPr>
      <t xml:space="preserve"> EF*</t>
    </r>
  </si>
  <si>
    <t>CHC Appendix H for NOX and PM, Table H-5.For Tier 0 (pre-MY1988) engines, in the HP bin of &gt;=800 is based on an average of  1969, 1971. 1979, 1984, and 1988 data.</t>
  </si>
  <si>
    <t>Drydock: Non-certified
Crane: Tier 2</t>
  </si>
  <si>
    <t>Engine Scenario</t>
  </si>
  <si>
    <t>Drydock: Tier 4 Marine w/VDECS
Crane: Tier 2</t>
  </si>
  <si>
    <t>Drydock: Tier 4 Marine w/VDECS
Crane: Tier 4F</t>
  </si>
  <si>
    <t>Emission Factors for APCD2005-PTO-030067 and APCD2005-PTO-030064 (referred to as 030067 and 030064)</t>
  </si>
  <si>
    <t>030067 (Starting Hours)</t>
  </si>
  <si>
    <t>030064 (Starting Hours)</t>
  </si>
  <si>
    <t>030067 or Replacement (hr)</t>
  </si>
  <si>
    <t>030064 or Replacement (hr)</t>
  </si>
  <si>
    <r>
      <t>NO</t>
    </r>
    <r>
      <rPr>
        <b/>
        <vertAlign val="subscript"/>
        <sz val="11"/>
        <color rgb="FF00B050"/>
        <rFont val="Calibri"/>
        <family val="2"/>
        <scheme val="minor"/>
      </rPr>
      <t>X</t>
    </r>
    <r>
      <rPr>
        <b/>
        <sz val="11"/>
        <color rgb="FF00B050"/>
        <rFont val="Calibri"/>
        <family val="2"/>
        <scheme val="minor"/>
      </rPr>
      <t xml:space="preserve"> Zero EF (g/bhp-hr)</t>
    </r>
  </si>
  <si>
    <r>
      <t>NO</t>
    </r>
    <r>
      <rPr>
        <b/>
        <vertAlign val="subscript"/>
        <sz val="11"/>
        <color rgb="FF00B050"/>
        <rFont val="Calibri"/>
        <family val="2"/>
        <scheme val="minor"/>
      </rPr>
      <t>X</t>
    </r>
    <r>
      <rPr>
        <b/>
        <sz val="11"/>
        <color rgb="FF00B050"/>
        <rFont val="Calibri"/>
        <family val="2"/>
        <scheme val="minor"/>
      </rPr>
      <t xml:space="preserve"> EF (lb/hr) - 030067</t>
    </r>
  </si>
  <si>
    <r>
      <t>NO</t>
    </r>
    <r>
      <rPr>
        <b/>
        <vertAlign val="subscript"/>
        <sz val="11"/>
        <color rgb="FF00B050"/>
        <rFont val="Calibri"/>
        <family val="2"/>
        <scheme val="minor"/>
      </rPr>
      <t>X</t>
    </r>
    <r>
      <rPr>
        <b/>
        <sz val="11"/>
        <color rgb="FF00B050"/>
        <rFont val="Calibri"/>
        <family val="2"/>
        <scheme val="minor"/>
      </rPr>
      <t xml:space="preserve"> EF (lb/hr) - 030064</t>
    </r>
  </si>
  <si>
    <r>
      <t>NO</t>
    </r>
    <r>
      <rPr>
        <b/>
        <vertAlign val="subscript"/>
        <sz val="11"/>
        <color rgb="FF00B050"/>
        <rFont val="Calibri"/>
        <family val="2"/>
        <scheme val="minor"/>
      </rPr>
      <t>X</t>
    </r>
    <r>
      <rPr>
        <b/>
        <sz val="11"/>
        <color rgb="FF00B050"/>
        <rFont val="Calibri"/>
        <family val="2"/>
        <scheme val="minor"/>
      </rPr>
      <t xml:space="preserve"> EF (lb/hr)</t>
    </r>
  </si>
  <si>
    <t>962075 or Replacement (hr)</t>
  </si>
  <si>
    <t>lb</t>
  </si>
  <si>
    <t>Annual M&amp;T Hours per drydock engine</t>
  </si>
  <si>
    <t>Drydock: Electric w/ M&amp;T for Non-cert
Crane: Tier 4F</t>
  </si>
  <si>
    <t>Nominal Compliance Baseline NOx Emissions (lb) fleet total from 2023 – 2034</t>
  </si>
  <si>
    <t>ACE Scenario – NOx Emissions (lb) fleet total from 2023 – 2034</t>
  </si>
  <si>
    <t>NOx Emissions Reduction in lb</t>
  </si>
  <si>
    <t>*Note, since EF are based on sulfur content of 3%, used CARB fuel correction factors. See values and reference below.</t>
  </si>
  <si>
    <t>Tier 2 Certification</t>
  </si>
  <si>
    <t>Note: Engines were Built in 1983; therefore 1984 was chosen as the most representative model year.</t>
  </si>
  <si>
    <r>
      <t>Existing</t>
    </r>
    <r>
      <rPr>
        <b/>
        <vertAlign val="superscript"/>
        <sz val="11"/>
        <color theme="1"/>
        <rFont val="Calibri"/>
        <family val="2"/>
        <scheme val="minor"/>
      </rPr>
      <t>1</t>
    </r>
  </si>
  <si>
    <r>
      <rPr>
        <i/>
        <vertAlign val="superscript"/>
        <sz val="10"/>
        <color rgb="FF000000"/>
        <rFont val="Calibri"/>
        <family val="2"/>
        <scheme val="minor"/>
      </rPr>
      <t>1</t>
    </r>
    <r>
      <rPr>
        <i/>
        <sz val="10"/>
        <color indexed="8"/>
        <rFont val="Calibri"/>
        <family val="2"/>
        <scheme val="minor"/>
      </rPr>
      <t xml:space="preserve"> CARB, 2017 Off-Road Diesel Emission Factor Update for NOx and PM w/ Fuel Correction Factor</t>
    </r>
  </si>
  <si>
    <r>
      <t>New w/o VDECS</t>
    </r>
    <r>
      <rPr>
        <b/>
        <vertAlign val="superscript"/>
        <sz val="11"/>
        <color theme="1"/>
        <rFont val="Calibri"/>
        <family val="2"/>
        <scheme val="minor"/>
      </rPr>
      <t>2</t>
    </r>
  </si>
  <si>
    <r>
      <rPr>
        <i/>
        <vertAlign val="superscript"/>
        <sz val="10"/>
        <color rgb="FF000000"/>
        <rFont val="Calibri"/>
        <family val="2"/>
        <scheme val="minor"/>
      </rPr>
      <t>2</t>
    </r>
    <r>
      <rPr>
        <i/>
        <sz val="10"/>
        <color indexed="8"/>
        <rFont val="Calibri"/>
        <family val="2"/>
        <scheme val="minor"/>
      </rPr>
      <t xml:space="preserve"> CARB, CHC, Appendix H, Table H-5. Emission Factors (gram/bhp-hr) of CHC Engines by Horsepower Bin and Tier Standard</t>
    </r>
  </si>
  <si>
    <r>
      <t>New w/VDECS</t>
    </r>
    <r>
      <rPr>
        <b/>
        <vertAlign val="superscript"/>
        <sz val="11"/>
        <color theme="1"/>
        <rFont val="Calibri"/>
        <family val="2"/>
        <scheme val="minor"/>
      </rPr>
      <t>3</t>
    </r>
  </si>
  <si>
    <r>
      <rPr>
        <i/>
        <vertAlign val="superscript"/>
        <sz val="10"/>
        <color rgb="FF000000"/>
        <rFont val="Calibri"/>
        <family val="2"/>
        <scheme val="minor"/>
      </rPr>
      <t>3</t>
    </r>
    <r>
      <rPr>
        <i/>
        <sz val="10"/>
        <color indexed="8"/>
        <rFont val="Calibri"/>
        <family val="2"/>
        <scheme val="minor"/>
      </rPr>
      <t xml:space="preserve"> VDECS considered Level 3 as required under Section 93118.5(e)(12)(C)(2) of the CHC</t>
    </r>
  </si>
  <si>
    <t>Emission Factors for APCD2007-PTO-962075 (referred to as 962075)</t>
  </si>
  <si>
    <r>
      <t>Deterioration Rate (g/bhp-hr</t>
    </r>
    <r>
      <rPr>
        <b/>
        <vertAlign val="superscript"/>
        <sz val="11"/>
        <color rgb="FF00B050"/>
        <rFont val="Calibri"/>
        <family val="2"/>
        <scheme val="minor"/>
      </rPr>
      <t>2</t>
    </r>
    <r>
      <rPr>
        <b/>
        <sz val="11"/>
        <color rgb="FF00B050"/>
        <rFont val="Calibri"/>
        <family val="2"/>
        <scheme val="minor"/>
      </rPr>
      <t>)</t>
    </r>
  </si>
  <si>
    <r>
      <t>Deterioration Rate (g/bhp-hr</t>
    </r>
    <r>
      <rPr>
        <b/>
        <vertAlign val="superscript"/>
        <sz val="11"/>
        <color rgb="FF0070C0"/>
        <rFont val="Calibri"/>
        <family val="2"/>
        <scheme val="minor"/>
      </rPr>
      <t>2</t>
    </r>
    <r>
      <rPr>
        <b/>
        <sz val="11"/>
        <color rgb="FF0070C0"/>
        <rFont val="Calibri"/>
        <family val="2"/>
        <scheme val="minor"/>
      </rPr>
      <t>)</t>
    </r>
  </si>
  <si>
    <t>Tier 4F Non-road CI Standards</t>
  </si>
  <si>
    <t>Drydock: One docking event in 2026, then Electric w/M&amp;T for Non-cert
Crane: Tier 4F</t>
  </si>
  <si>
    <r>
      <t>ACE Scenario requests 40 hours per engine per year for the two POSD drydock engines until 12/31/2025. Anticipating one docking event in early 2026 for 10 hours of use for each engines then in April 2026 the drydock operation would be fully electric and the two engines would be only used in emergency situations, limited to 12 hours per year for maintenance and testing. Additionally, the existing Tier 2 engine on the Kobelco wingwall cr</t>
    </r>
    <r>
      <rPr>
        <b/>
        <sz val="11"/>
        <rFont val="Calibri"/>
        <family val="2"/>
        <scheme val="minor"/>
      </rPr>
      <t>ane will be</t>
    </r>
    <r>
      <rPr>
        <b/>
        <sz val="11"/>
        <color theme="1"/>
        <rFont val="Calibri"/>
        <family val="2"/>
        <scheme val="minor"/>
      </rPr>
      <t xml:space="preserve"> replaced with a</t>
    </r>
    <r>
      <rPr>
        <b/>
        <sz val="11"/>
        <rFont val="Calibri"/>
        <family val="2"/>
        <scheme val="minor"/>
      </rPr>
      <t xml:space="preserve"> Tier 4F engine </t>
    </r>
    <r>
      <rPr>
        <b/>
        <sz val="11"/>
        <color theme="1"/>
        <rFont val="Calibri"/>
        <family val="2"/>
        <scheme val="minor"/>
      </rPr>
      <t>no later than 1</t>
    </r>
    <r>
      <rPr>
        <b/>
        <sz val="11"/>
        <color rgb="FF0000FF"/>
        <rFont val="Calibri"/>
        <family val="2"/>
        <scheme val="minor"/>
      </rPr>
      <t>/1/2026</t>
    </r>
    <r>
      <rPr>
        <b/>
        <sz val="11"/>
        <color theme="1"/>
        <rFont val="Calibri"/>
        <family val="2"/>
        <scheme val="minor"/>
      </rPr>
      <t xml:space="preserve"> and operated approximately 1,</t>
    </r>
    <r>
      <rPr>
        <b/>
        <sz val="11"/>
        <color rgb="FFFF0000"/>
        <rFont val="Calibri"/>
        <family val="2"/>
        <scheme val="minor"/>
      </rPr>
      <t>6</t>
    </r>
    <r>
      <rPr>
        <b/>
        <sz val="11"/>
        <color theme="1"/>
        <rFont val="Calibri"/>
        <family val="2"/>
        <scheme val="minor"/>
      </rPr>
      <t>00 hours per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</si>
</sst>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
    <numFmt numFmtId="166" formatCode="_(* #,##0.0_);_(* \(#,##0.0\);_(* &quot;-&quot;??_);_(@_)"/>
    <numFmt numFmtId="167" formatCode="0.0"/>
    <numFmt numFmtId="168" formatCode="#,##0.000"/>
    <numFmt numFmtId="169" formatCode="#,##0.0"/>
  </numFmts>
  <fonts count="4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font>
    <font>
      <b/>
      <sz val="11"/>
      <color indexed="8"/>
      <name val="Calibri"/>
      <family val="2"/>
      <scheme val="minor"/>
    </font>
    <font>
      <b/>
      <vertAlign val="subscript"/>
      <sz val="11"/>
      <color rgb="FF000000"/>
      <name val="Calibri"/>
      <family val="2"/>
      <scheme val="minor"/>
    </font>
    <font>
      <sz val="11"/>
      <name val="Calibri"/>
      <family val="2"/>
      <scheme val="minor"/>
    </font>
    <font>
      <sz val="11"/>
      <color rgb="FF0000FF"/>
      <name val="Calibri"/>
      <family val="2"/>
      <scheme val="minor"/>
    </font>
    <font>
      <b/>
      <vertAlign val="subscript"/>
      <sz val="11"/>
      <name val="Calibri"/>
      <family val="2"/>
    </font>
    <font>
      <b/>
      <sz val="11"/>
      <color rgb="FFFF0000"/>
      <name val="Calibri"/>
      <family val="2"/>
      <scheme val="minor"/>
    </font>
    <font>
      <b/>
      <u/>
      <sz val="11"/>
      <color indexed="8"/>
      <name val="Calibri"/>
      <family val="2"/>
      <scheme val="minor"/>
    </font>
    <font>
      <u/>
      <sz val="10"/>
      <color theme="10"/>
      <name val="Calibri"/>
      <family val="2"/>
      <scheme val="minor"/>
    </font>
    <font>
      <sz val="10"/>
      <color indexed="8"/>
      <name val="Calibri"/>
      <family val="2"/>
      <scheme val="minor"/>
    </font>
    <font>
      <sz val="11"/>
      <color rgb="FFFF0000"/>
      <name val="Calibri"/>
      <family val="2"/>
      <scheme val="minor"/>
    </font>
    <font>
      <sz val="9"/>
      <color indexed="81"/>
      <name val="Tahoma"/>
      <family val="2"/>
    </font>
    <font>
      <b/>
      <sz val="9"/>
      <color indexed="81"/>
      <name val="Tahoma"/>
      <family val="2"/>
    </font>
    <font>
      <sz val="11"/>
      <color indexed="8"/>
      <name val="Calibri"/>
      <family val="2"/>
      <scheme val="minor"/>
    </font>
    <font>
      <b/>
      <u/>
      <sz val="12"/>
      <color rgb="FFFF0000"/>
      <name val="Calibri"/>
      <family val="2"/>
      <scheme val="minor"/>
    </font>
    <font>
      <sz val="11"/>
      <color rgb="FF7030A0"/>
      <name val="Calibri"/>
      <family val="2"/>
      <scheme val="minor"/>
    </font>
    <font>
      <b/>
      <sz val="11"/>
      <color rgb="FF7030A0"/>
      <name val="Calibri"/>
      <family val="2"/>
      <scheme val="minor"/>
    </font>
    <font>
      <b/>
      <vertAlign val="superscript"/>
      <sz val="11"/>
      <color rgb="FF7030A0"/>
      <name val="Calibri"/>
      <family val="2"/>
      <scheme val="minor"/>
    </font>
    <font>
      <b/>
      <vertAlign val="subscript"/>
      <sz val="11"/>
      <color rgb="FF7030A0"/>
      <name val="Calibri"/>
      <family val="2"/>
      <scheme val="minor"/>
    </font>
    <font>
      <i/>
      <sz val="10"/>
      <color indexed="8"/>
      <name val="Calibri"/>
      <family val="2"/>
      <scheme val="minor"/>
    </font>
    <font>
      <vertAlign val="superscript"/>
      <sz val="11"/>
      <color rgb="FF000000"/>
      <name val="Calibri"/>
      <family val="2"/>
      <scheme val="minor"/>
    </font>
    <font>
      <b/>
      <sz val="11"/>
      <color rgb="FF0000FF"/>
      <name val="Calibri"/>
      <family val="2"/>
      <scheme val="minor"/>
    </font>
    <font>
      <b/>
      <sz val="11"/>
      <name val="Calibri"/>
      <family val="2"/>
      <scheme val="minor"/>
    </font>
    <font>
      <b/>
      <sz val="11"/>
      <color rgb="FF0070C0"/>
      <name val="Calibri"/>
      <family val="2"/>
      <scheme val="minor"/>
    </font>
    <font>
      <b/>
      <vertAlign val="superscript"/>
      <sz val="11"/>
      <color rgb="FF0070C0"/>
      <name val="Calibri"/>
      <family val="2"/>
      <scheme val="minor"/>
    </font>
    <font>
      <b/>
      <sz val="11"/>
      <color rgb="FF00B050"/>
      <name val="Calibri"/>
      <family val="2"/>
      <scheme val="minor"/>
    </font>
    <font>
      <b/>
      <vertAlign val="subscript"/>
      <sz val="11"/>
      <color rgb="FF00B050"/>
      <name val="Calibri"/>
      <family val="2"/>
      <scheme val="minor"/>
    </font>
    <font>
      <b/>
      <vertAlign val="superscript"/>
      <sz val="11"/>
      <color rgb="FF00B050"/>
      <name val="Calibri"/>
      <family val="2"/>
      <scheme val="minor"/>
    </font>
    <font>
      <i/>
      <sz val="11"/>
      <color rgb="FF0000FF"/>
      <name val="Calibri"/>
      <family val="2"/>
      <scheme val="minor"/>
    </font>
    <font>
      <b/>
      <vertAlign val="superscript"/>
      <sz val="11"/>
      <color theme="1"/>
      <name val="Calibri"/>
      <family val="2"/>
      <scheme val="minor"/>
    </font>
    <font>
      <i/>
      <vertAlign val="superscript"/>
      <sz val="10"/>
      <color rgb="FF000000"/>
      <name val="Calibri"/>
      <family val="2"/>
      <scheme val="minor"/>
    </font>
    <font>
      <i/>
      <sz val="9"/>
      <color indexed="8"/>
      <name val="Calibri"/>
      <family val="2"/>
      <scheme val="minor"/>
    </font>
    <font>
      <i/>
      <sz val="11"/>
      <color indexed="8"/>
      <name val="Calibri"/>
      <family val="2"/>
      <scheme val="minor"/>
    </font>
    <font>
      <sz val="9"/>
      <color indexed="81"/>
      <name val="Tahoma"/>
      <charset val="1"/>
    </font>
    <font>
      <b/>
      <sz val="9"/>
      <color indexed="81"/>
      <name val="Tahoma"/>
      <charset val="1"/>
    </font>
  </fonts>
  <fills count="13">
    <fill>
      <patternFill patternType="none"/>
    </fill>
    <fill>
      <patternFill patternType="gray125"/>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rgb="FFBDD7EE"/>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7E6E6"/>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thin">
        <color rgb="FF0000FF"/>
      </right>
      <top style="medium">
        <color rgb="FF0000FF"/>
      </top>
      <bottom style="medium">
        <color rgb="FF0000FF"/>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s>
  <cellStyleXfs count="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0" borderId="0" applyNumberFormat="0" applyFill="0" applyBorder="0" applyAlignment="0" applyProtection="0"/>
    <xf numFmtId="9" fontId="19" fillId="0" borderId="0" applyFont="0" applyFill="0" applyBorder="0" applyAlignment="0" applyProtection="0"/>
  </cellStyleXfs>
  <cellXfs count="325">
    <xf numFmtId="0" fontId="0" fillId="0" borderId="0" xfId="0"/>
    <xf numFmtId="0" fontId="0" fillId="0" borderId="0" xfId="0" applyAlignment="1">
      <alignment horizontal="right"/>
    </xf>
    <xf numFmtId="0" fontId="7" fillId="0" borderId="0" xfId="0" applyFont="1"/>
    <xf numFmtId="0" fontId="7" fillId="0" borderId="0" xfId="0" applyFont="1" applyAlignment="1">
      <alignment horizontal="right"/>
    </xf>
    <xf numFmtId="0" fontId="4" fillId="5" borderId="5" xfId="4" applyFont="1" applyBorder="1" applyAlignment="1">
      <alignment horizontal="center" wrapText="1"/>
    </xf>
    <xf numFmtId="0" fontId="3" fillId="7" borderId="4" xfId="4" applyFill="1" applyBorder="1" applyAlignment="1">
      <alignment horizontal="center"/>
    </xf>
    <xf numFmtId="0" fontId="7" fillId="0" borderId="0" xfId="0" quotePrefix="1" applyFont="1" applyAlignment="1">
      <alignment horizontal="right"/>
    </xf>
    <xf numFmtId="0" fontId="10" fillId="8" borderId="5" xfId="3" applyFont="1" applyFill="1" applyBorder="1" applyAlignment="1">
      <alignment horizontal="center"/>
    </xf>
    <xf numFmtId="0" fontId="10" fillId="7" borderId="5" xfId="4" applyFont="1" applyFill="1" applyBorder="1" applyAlignment="1">
      <alignment horizontal="center"/>
    </xf>
    <xf numFmtId="0" fontId="10" fillId="8" borderId="6" xfId="3" applyFont="1" applyFill="1" applyBorder="1" applyAlignment="1">
      <alignment horizontal="center"/>
    </xf>
    <xf numFmtId="0" fontId="7" fillId="0" borderId="8" xfId="0" applyFont="1" applyBorder="1"/>
    <xf numFmtId="0" fontId="7" fillId="0" borderId="8" xfId="0" applyFont="1" applyBorder="1" applyAlignment="1">
      <alignment horizontal="right"/>
    </xf>
    <xf numFmtId="0" fontId="7" fillId="0" borderId="0" xfId="0" quotePrefix="1" applyFont="1"/>
    <xf numFmtId="0" fontId="7" fillId="0" borderId="14" xfId="0" applyFont="1" applyBorder="1" applyAlignment="1">
      <alignment horizontal="left" vertical="center"/>
    </xf>
    <xf numFmtId="0" fontId="7" fillId="0" borderId="14" xfId="0" applyFont="1" applyBorder="1" applyAlignment="1">
      <alignment horizontal="right"/>
    </xf>
    <xf numFmtId="0" fontId="3" fillId="11" borderId="6" xfId="1" applyFill="1" applyBorder="1" applyAlignment="1">
      <alignment horizontal="center"/>
    </xf>
    <xf numFmtId="0" fontId="7" fillId="0" borderId="0" xfId="0" applyFont="1" applyAlignment="1">
      <alignment horizontal="center"/>
    </xf>
    <xf numFmtId="0" fontId="4" fillId="5" borderId="7" xfId="4" applyFont="1" applyBorder="1"/>
    <xf numFmtId="2" fontId="4" fillId="5" borderId="8" xfId="4" applyNumberFormat="1" applyFont="1" applyBorder="1"/>
    <xf numFmtId="0" fontId="4" fillId="3" borderId="9" xfId="2" applyFont="1" applyBorder="1"/>
    <xf numFmtId="0" fontId="4" fillId="3" borderId="0" xfId="2" applyFont="1" applyBorder="1"/>
    <xf numFmtId="0" fontId="7" fillId="0" borderId="13" xfId="0" applyFont="1" applyBorder="1"/>
    <xf numFmtId="0" fontId="7" fillId="0" borderId="14" xfId="0" applyFont="1" applyBorder="1"/>
    <xf numFmtId="0" fontId="12" fillId="0" borderId="0" xfId="0" applyFont="1"/>
    <xf numFmtId="2" fontId="7" fillId="0" borderId="0" xfId="0" applyNumberFormat="1" applyFont="1"/>
    <xf numFmtId="164" fontId="7" fillId="0" borderId="0" xfId="0" applyNumberFormat="1" applyFont="1"/>
    <xf numFmtId="43" fontId="0" fillId="0" borderId="0" xfId="0" applyNumberFormat="1"/>
    <xf numFmtId="0" fontId="4" fillId="5" borderId="8" xfId="4" applyFont="1" applyBorder="1"/>
    <xf numFmtId="0" fontId="7" fillId="12" borderId="25" xfId="0" applyFont="1" applyFill="1" applyBorder="1" applyAlignment="1">
      <alignment horizontal="left"/>
    </xf>
    <xf numFmtId="0" fontId="15" fillId="0" borderId="0" xfId="0" applyFont="1" applyAlignment="1">
      <alignment horizontal="right"/>
    </xf>
    <xf numFmtId="0" fontId="14" fillId="0" borderId="0" xfId="5" applyFont="1"/>
    <xf numFmtId="0" fontId="2" fillId="5" borderId="5" xfId="4" applyFont="1" applyBorder="1" applyAlignment="1">
      <alignment horizontal="center"/>
    </xf>
    <xf numFmtId="0" fontId="2" fillId="5" borderId="5" xfId="4" applyFont="1" applyBorder="1" applyAlignment="1">
      <alignment horizontal="center" wrapText="1"/>
    </xf>
    <xf numFmtId="2" fontId="0" fillId="0" borderId="0" xfId="0" applyNumberFormat="1"/>
    <xf numFmtId="0" fontId="20" fillId="0" borderId="0" xfId="0" applyFont="1"/>
    <xf numFmtId="0" fontId="22" fillId="0" borderId="0" xfId="0" quotePrefix="1" applyFont="1" applyAlignment="1">
      <alignment horizontal="right"/>
    </xf>
    <xf numFmtId="0" fontId="5" fillId="0" borderId="0" xfId="5"/>
    <xf numFmtId="0" fontId="4" fillId="7" borderId="5" xfId="4" applyFont="1" applyFill="1" applyBorder="1" applyAlignment="1">
      <alignment horizontal="center" wrapText="1"/>
    </xf>
    <xf numFmtId="0" fontId="1" fillId="5" borderId="5" xfId="4" applyFont="1" applyBorder="1" applyAlignment="1">
      <alignment horizontal="center" wrapText="1"/>
    </xf>
    <xf numFmtId="0" fontId="25" fillId="0" borderId="0" xfId="0" applyFont="1"/>
    <xf numFmtId="0" fontId="0" fillId="0" borderId="0" xfId="0" applyAlignment="1">
      <alignment horizontal="left" indent="1"/>
    </xf>
    <xf numFmtId="0" fontId="0" fillId="0" borderId="0" xfId="0" applyAlignment="1">
      <alignment horizontal="left" indent="2"/>
    </xf>
    <xf numFmtId="0" fontId="5" fillId="0" borderId="0" xfId="5" applyAlignment="1">
      <alignment horizontal="left" indent="1"/>
    </xf>
    <xf numFmtId="2" fontId="0" fillId="0" borderId="0" xfId="0" applyNumberFormat="1" applyAlignment="1">
      <alignment horizontal="left" indent="1"/>
    </xf>
    <xf numFmtId="0" fontId="4" fillId="5" borderId="11" xfId="4" applyFont="1" applyBorder="1" applyAlignment="1">
      <alignment horizontal="left" wrapText="1"/>
    </xf>
    <xf numFmtId="0" fontId="4" fillId="5" borderId="11" xfId="4" applyFont="1" applyBorder="1" applyAlignment="1">
      <alignment horizontal="center" wrapText="1"/>
    </xf>
    <xf numFmtId="0" fontId="0" fillId="0" borderId="0" xfId="0" quotePrefix="1" applyAlignment="1">
      <alignment horizontal="left" indent="1"/>
    </xf>
    <xf numFmtId="0" fontId="0" fillId="0" borderId="34" xfId="0" applyBorder="1" applyAlignment="1">
      <alignment horizontal="left" indent="1"/>
    </xf>
    <xf numFmtId="0" fontId="0" fillId="0" borderId="35" xfId="0" applyBorder="1" applyAlignment="1">
      <alignment horizontal="left" indent="1"/>
    </xf>
    <xf numFmtId="0" fontId="0" fillId="0" borderId="35" xfId="0" quotePrefix="1" applyBorder="1" applyAlignment="1">
      <alignment horizontal="left" indent="1"/>
    </xf>
    <xf numFmtId="0" fontId="0" fillId="0" borderId="36" xfId="0" applyBorder="1" applyAlignment="1">
      <alignment horizontal="left" indent="1"/>
    </xf>
    <xf numFmtId="0" fontId="0" fillId="0" borderId="37" xfId="0" applyBorder="1" applyAlignment="1">
      <alignment horizontal="left" indent="1"/>
    </xf>
    <xf numFmtId="0" fontId="0" fillId="0" borderId="38" xfId="0" quotePrefix="1" applyBorder="1" applyAlignment="1">
      <alignment horizontal="left" indent="1"/>
    </xf>
    <xf numFmtId="0" fontId="0" fillId="0" borderId="38" xfId="0" applyBorder="1" applyAlignment="1">
      <alignment horizontal="left" indent="1"/>
    </xf>
    <xf numFmtId="0" fontId="0" fillId="0" borderId="39" xfId="0" applyBorder="1" applyAlignment="1">
      <alignment horizontal="left" indent="1"/>
    </xf>
    <xf numFmtId="4" fontId="0" fillId="0" borderId="0" xfId="0" applyNumberFormat="1"/>
    <xf numFmtId="3" fontId="10" fillId="7" borderId="5" xfId="4" applyNumberFormat="1" applyFont="1" applyFill="1" applyBorder="1" applyAlignment="1">
      <alignment horizontal="center"/>
    </xf>
    <xf numFmtId="4" fontId="3" fillId="9" borderId="15" xfId="2" applyNumberFormat="1" applyFill="1" applyBorder="1" applyAlignment="1"/>
    <xf numFmtId="4" fontId="3" fillId="9" borderId="16" xfId="2" applyNumberFormat="1" applyFill="1" applyBorder="1" applyAlignment="1"/>
    <xf numFmtId="4" fontId="3" fillId="9" borderId="17" xfId="2" applyNumberFormat="1" applyFill="1" applyBorder="1" applyAlignment="1"/>
    <xf numFmtId="9" fontId="0" fillId="0" borderId="0" xfId="0" applyNumberFormat="1"/>
    <xf numFmtId="0" fontId="16" fillId="0" borderId="0" xfId="0" applyFont="1"/>
    <xf numFmtId="2" fontId="3" fillId="7" borderId="4" xfId="4" applyNumberFormat="1" applyFill="1" applyBorder="1" applyAlignment="1">
      <alignment horizontal="center"/>
    </xf>
    <xf numFmtId="0" fontId="13" fillId="0" borderId="0" xfId="0" applyFont="1"/>
    <xf numFmtId="2" fontId="0" fillId="0" borderId="35" xfId="0" applyNumberFormat="1" applyBorder="1" applyAlignment="1">
      <alignment horizontal="left" indent="1"/>
    </xf>
    <xf numFmtId="165" fontId="0" fillId="0" borderId="38" xfId="0" applyNumberFormat="1" applyBorder="1" applyAlignment="1">
      <alignment horizontal="left" indent="1"/>
    </xf>
    <xf numFmtId="0" fontId="0" fillId="0" borderId="0" xfId="0" applyAlignment="1">
      <alignment horizontal="center"/>
    </xf>
    <xf numFmtId="3" fontId="7" fillId="0" borderId="0" xfId="0" applyNumberFormat="1" applyFont="1"/>
    <xf numFmtId="167" fontId="16" fillId="8" borderId="5" xfId="3" applyNumberFormat="1" applyFont="1" applyFill="1" applyBorder="1" applyAlignment="1">
      <alignment horizontal="center"/>
    </xf>
    <xf numFmtId="0" fontId="4" fillId="4" borderId="29" xfId="3" applyFont="1" applyBorder="1" applyAlignment="1">
      <alignment horizontal="left" wrapText="1"/>
    </xf>
    <xf numFmtId="0" fontId="3" fillId="8" borderId="5" xfId="3" applyFill="1" applyBorder="1" applyAlignment="1">
      <alignment horizontal="center"/>
    </xf>
    <xf numFmtId="0" fontId="3" fillId="7" borderId="5" xfId="4" applyFill="1" applyBorder="1" applyAlignment="1">
      <alignment horizontal="center"/>
    </xf>
    <xf numFmtId="0" fontId="3" fillId="8" borderId="6" xfId="3" applyFill="1" applyBorder="1" applyAlignment="1">
      <alignment horizontal="center"/>
    </xf>
    <xf numFmtId="2" fontId="3" fillId="8" borderId="5" xfId="3" applyNumberFormat="1" applyFill="1" applyBorder="1" applyAlignment="1">
      <alignment horizontal="center"/>
    </xf>
    <xf numFmtId="4" fontId="3" fillId="8" borderId="5" xfId="3" applyNumberFormat="1" applyFill="1" applyBorder="1" applyAlignment="1">
      <alignment horizontal="center"/>
    </xf>
    <xf numFmtId="4" fontId="3" fillId="7" borderId="5" xfId="4" applyNumberFormat="1" applyFill="1" applyBorder="1" applyAlignment="1">
      <alignment horizontal="center"/>
    </xf>
    <xf numFmtId="11" fontId="3" fillId="7" borderId="4" xfId="4" applyNumberFormat="1" applyFill="1" applyBorder="1" applyAlignment="1">
      <alignment horizontal="center"/>
    </xf>
    <xf numFmtId="4" fontId="9" fillId="7" borderId="4" xfId="4" applyNumberFormat="1" applyFont="1" applyFill="1" applyBorder="1" applyAlignment="1">
      <alignment horizontal="center"/>
    </xf>
    <xf numFmtId="11" fontId="3" fillId="7" borderId="43" xfId="4" applyNumberFormat="1" applyFill="1" applyBorder="1" applyAlignment="1">
      <alignment horizontal="center"/>
    </xf>
    <xf numFmtId="4" fontId="16" fillId="7" borderId="4" xfId="4" applyNumberFormat="1" applyFont="1" applyFill="1" applyBorder="1" applyAlignment="1">
      <alignment horizontal="center"/>
    </xf>
    <xf numFmtId="4" fontId="16" fillId="7" borderId="44" xfId="4" applyNumberFormat="1" applyFont="1" applyFill="1" applyBorder="1" applyAlignment="1">
      <alignment horizontal="center"/>
    </xf>
    <xf numFmtId="11" fontId="3" fillId="7" borderId="5" xfId="4" applyNumberFormat="1" applyFill="1" applyBorder="1" applyAlignment="1">
      <alignment horizontal="center"/>
    </xf>
    <xf numFmtId="2" fontId="9" fillId="7" borderId="5" xfId="3" applyNumberFormat="1" applyFont="1" applyFill="1" applyBorder="1" applyAlignment="1">
      <alignment horizontal="center"/>
    </xf>
    <xf numFmtId="4" fontId="9" fillId="7" borderId="5" xfId="3" applyNumberFormat="1" applyFont="1" applyFill="1" applyBorder="1" applyAlignment="1">
      <alignment horizontal="center"/>
    </xf>
    <xf numFmtId="168" fontId="9" fillId="7" borderId="11" xfId="3" applyNumberFormat="1" applyFont="1" applyFill="1" applyBorder="1" applyAlignment="1">
      <alignment horizontal="center"/>
    </xf>
    <xf numFmtId="11" fontId="9" fillId="7" borderId="11" xfId="3" applyNumberFormat="1" applyFont="1" applyFill="1" applyBorder="1" applyAlignment="1">
      <alignment horizontal="center"/>
    </xf>
    <xf numFmtId="3" fontId="10" fillId="7" borderId="45" xfId="4" applyNumberFormat="1" applyFont="1" applyFill="1" applyBorder="1" applyAlignment="1">
      <alignment horizontal="center"/>
    </xf>
    <xf numFmtId="11" fontId="3" fillId="8" borderId="6" xfId="3" applyNumberFormat="1" applyFill="1" applyBorder="1" applyAlignment="1">
      <alignment horizontal="center"/>
    </xf>
    <xf numFmtId="2" fontId="9" fillId="8" borderId="6" xfId="3" applyNumberFormat="1" applyFont="1" applyFill="1" applyBorder="1" applyAlignment="1">
      <alignment horizontal="center"/>
    </xf>
    <xf numFmtId="4" fontId="9" fillId="8" borderId="6" xfId="3" applyNumberFormat="1" applyFont="1" applyFill="1" applyBorder="1" applyAlignment="1">
      <alignment horizontal="center"/>
    </xf>
    <xf numFmtId="168" fontId="9" fillId="8" borderId="12" xfId="3" applyNumberFormat="1" applyFont="1" applyFill="1" applyBorder="1" applyAlignment="1">
      <alignment horizontal="center"/>
    </xf>
    <xf numFmtId="11" fontId="9" fillId="8" borderId="12" xfId="3" applyNumberFormat="1" applyFont="1" applyFill="1" applyBorder="1" applyAlignment="1">
      <alignment horizontal="center"/>
    </xf>
    <xf numFmtId="3" fontId="10" fillId="8" borderId="6" xfId="4" applyNumberFormat="1" applyFont="1" applyFill="1" applyBorder="1" applyAlignment="1">
      <alignment horizontal="center"/>
    </xf>
    <xf numFmtId="3" fontId="10" fillId="8" borderId="46" xfId="4" applyNumberFormat="1" applyFont="1" applyFill="1" applyBorder="1" applyAlignment="1">
      <alignment horizontal="center"/>
    </xf>
    <xf numFmtId="11" fontId="3" fillId="8" borderId="5" xfId="3" applyNumberFormat="1" applyFill="1" applyBorder="1" applyAlignment="1">
      <alignment horizontal="center"/>
    </xf>
    <xf numFmtId="2" fontId="9" fillId="8" borderId="5" xfId="3" applyNumberFormat="1" applyFont="1" applyFill="1" applyBorder="1" applyAlignment="1">
      <alignment horizontal="center"/>
    </xf>
    <xf numFmtId="4" fontId="9" fillId="8" borderId="5" xfId="3" applyNumberFormat="1" applyFont="1" applyFill="1" applyBorder="1" applyAlignment="1">
      <alignment horizontal="center"/>
    </xf>
    <xf numFmtId="168" fontId="9" fillId="8" borderId="11" xfId="3" applyNumberFormat="1" applyFont="1" applyFill="1" applyBorder="1" applyAlignment="1">
      <alignment horizontal="center"/>
    </xf>
    <xf numFmtId="11" fontId="9" fillId="8" borderId="11" xfId="3" applyNumberFormat="1" applyFont="1" applyFill="1" applyBorder="1" applyAlignment="1">
      <alignment horizontal="center"/>
    </xf>
    <xf numFmtId="3" fontId="10" fillId="8" borderId="5" xfId="4" applyNumberFormat="1" applyFont="1" applyFill="1" applyBorder="1" applyAlignment="1">
      <alignment horizontal="center"/>
    </xf>
    <xf numFmtId="3" fontId="10" fillId="8" borderId="45" xfId="4" applyNumberFormat="1" applyFont="1" applyFill="1" applyBorder="1" applyAlignment="1">
      <alignment horizontal="center"/>
    </xf>
    <xf numFmtId="11" fontId="3" fillId="8" borderId="5" xfId="4" applyNumberFormat="1" applyFill="1" applyBorder="1" applyAlignment="1">
      <alignment horizontal="center"/>
    </xf>
    <xf numFmtId="4" fontId="16" fillId="8" borderId="5" xfId="4" applyNumberFormat="1" applyFont="1" applyFill="1" applyBorder="1" applyAlignment="1">
      <alignment horizontal="center"/>
    </xf>
    <xf numFmtId="4" fontId="16" fillId="8" borderId="45" xfId="4" applyNumberFormat="1" applyFont="1" applyFill="1" applyBorder="1" applyAlignment="1">
      <alignment horizontal="center"/>
    </xf>
    <xf numFmtId="2" fontId="9" fillId="7" borderId="4" xfId="4" applyNumberFormat="1" applyFont="1" applyFill="1" applyBorder="1" applyAlignment="1">
      <alignment horizontal="center"/>
    </xf>
    <xf numFmtId="0" fontId="29" fillId="0" borderId="0" xfId="0" applyFont="1" applyAlignment="1">
      <alignment horizontal="right"/>
    </xf>
    <xf numFmtId="0" fontId="29" fillId="0" borderId="0" xfId="0" quotePrefix="1" applyFont="1" applyAlignment="1">
      <alignment horizontal="right"/>
    </xf>
    <xf numFmtId="0" fontId="31" fillId="0" borderId="0" xfId="0" applyFont="1" applyAlignment="1">
      <alignment horizontal="right"/>
    </xf>
    <xf numFmtId="0" fontId="31" fillId="0" borderId="0" xfId="0" quotePrefix="1" applyFont="1" applyAlignment="1">
      <alignment horizontal="right"/>
    </xf>
    <xf numFmtId="11" fontId="7" fillId="0" borderId="0" xfId="0" applyNumberFormat="1" applyFont="1"/>
    <xf numFmtId="3" fontId="10" fillId="7" borderId="4" xfId="4" applyNumberFormat="1" applyFont="1" applyFill="1" applyBorder="1" applyAlignment="1">
      <alignment horizontal="center"/>
    </xf>
    <xf numFmtId="4" fontId="10" fillId="7" borderId="18" xfId="4" applyNumberFormat="1" applyFont="1" applyFill="1" applyBorder="1" applyAlignment="1">
      <alignment horizontal="center"/>
    </xf>
    <xf numFmtId="2" fontId="9" fillId="7" borderId="43" xfId="4" applyNumberFormat="1" applyFont="1" applyFill="1" applyBorder="1" applyAlignment="1">
      <alignment horizontal="center"/>
    </xf>
    <xf numFmtId="4" fontId="3" fillId="7" borderId="43" xfId="4" applyNumberFormat="1" applyFill="1" applyBorder="1" applyAlignment="1">
      <alignment horizontal="center"/>
    </xf>
    <xf numFmtId="1" fontId="16" fillId="7" borderId="4" xfId="2" applyNumberFormat="1" applyFont="1" applyFill="1" applyBorder="1" applyAlignment="1">
      <alignment horizontal="center"/>
    </xf>
    <xf numFmtId="9" fontId="21" fillId="7" borderId="10" xfId="6" applyFont="1" applyFill="1" applyBorder="1" applyAlignment="1">
      <alignment horizontal="center"/>
    </xf>
    <xf numFmtId="169" fontId="10" fillId="7" borderId="5" xfId="4" applyNumberFormat="1" applyFont="1" applyFill="1" applyBorder="1" applyAlignment="1">
      <alignment horizontal="center"/>
    </xf>
    <xf numFmtId="4" fontId="10" fillId="7" borderId="19" xfId="4" applyNumberFormat="1" applyFont="1" applyFill="1" applyBorder="1" applyAlignment="1">
      <alignment horizontal="center"/>
    </xf>
    <xf numFmtId="2" fontId="9" fillId="7" borderId="5" xfId="4" applyNumberFormat="1" applyFont="1" applyFill="1" applyBorder="1" applyAlignment="1">
      <alignment horizontal="center"/>
    </xf>
    <xf numFmtId="9" fontId="21" fillId="7" borderId="11" xfId="6" applyFont="1" applyFill="1" applyBorder="1" applyAlignment="1">
      <alignment horizontal="center"/>
    </xf>
    <xf numFmtId="168" fontId="10" fillId="7" borderId="19" xfId="4" applyNumberFormat="1" applyFont="1" applyFill="1" applyBorder="1" applyAlignment="1">
      <alignment horizontal="center"/>
    </xf>
    <xf numFmtId="168" fontId="3" fillId="7" borderId="5" xfId="4" applyNumberFormat="1" applyFill="1" applyBorder="1" applyAlignment="1">
      <alignment horizontal="center"/>
    </xf>
    <xf numFmtId="0" fontId="10" fillId="7" borderId="11" xfId="4" quotePrefix="1" applyFont="1" applyFill="1" applyBorder="1" applyAlignment="1">
      <alignment horizontal="center"/>
    </xf>
    <xf numFmtId="4" fontId="10" fillId="8" borderId="19" xfId="4" applyNumberFormat="1" applyFont="1" applyFill="1" applyBorder="1" applyAlignment="1">
      <alignment horizontal="center"/>
    </xf>
    <xf numFmtId="2" fontId="9" fillId="8" borderId="5" xfId="4" applyNumberFormat="1" applyFont="1" applyFill="1" applyBorder="1" applyAlignment="1">
      <alignment horizontal="center"/>
    </xf>
    <xf numFmtId="4" fontId="3" fillId="8" borderId="5" xfId="4" applyNumberFormat="1" applyFill="1" applyBorder="1" applyAlignment="1">
      <alignment horizontal="center"/>
    </xf>
    <xf numFmtId="9" fontId="21" fillId="8" borderId="11" xfId="6" applyFont="1" applyFill="1" applyBorder="1" applyAlignment="1">
      <alignment horizontal="center"/>
    </xf>
    <xf numFmtId="168" fontId="10" fillId="8" borderId="19" xfId="4" applyNumberFormat="1" applyFont="1" applyFill="1" applyBorder="1" applyAlignment="1">
      <alignment horizontal="center"/>
    </xf>
    <xf numFmtId="168" fontId="3" fillId="8" borderId="5" xfId="4" applyNumberFormat="1" applyFill="1" applyBorder="1" applyAlignment="1">
      <alignment horizontal="center"/>
    </xf>
    <xf numFmtId="0" fontId="10" fillId="8" borderId="11" xfId="3" quotePrefix="1" applyFont="1" applyFill="1" applyBorder="1" applyAlignment="1">
      <alignment horizontal="center"/>
    </xf>
    <xf numFmtId="4" fontId="10" fillId="8" borderId="20" xfId="4" applyNumberFormat="1" applyFont="1" applyFill="1" applyBorder="1" applyAlignment="1">
      <alignment horizontal="center"/>
    </xf>
    <xf numFmtId="11" fontId="3" fillId="8" borderId="6" xfId="4" applyNumberFormat="1" applyFill="1" applyBorder="1" applyAlignment="1">
      <alignment horizontal="center"/>
    </xf>
    <xf numFmtId="2" fontId="9" fillId="8" borderId="6" xfId="4" applyNumberFormat="1" applyFont="1" applyFill="1" applyBorder="1" applyAlignment="1">
      <alignment horizontal="center"/>
    </xf>
    <xf numFmtId="168" fontId="10" fillId="8" borderId="20" xfId="4" applyNumberFormat="1" applyFont="1" applyFill="1" applyBorder="1" applyAlignment="1">
      <alignment horizontal="center"/>
    </xf>
    <xf numFmtId="168" fontId="3" fillId="8" borderId="6" xfId="4" applyNumberFormat="1" applyFill="1" applyBorder="1" applyAlignment="1">
      <alignment horizontal="center"/>
    </xf>
    <xf numFmtId="0" fontId="10" fillId="8" borderId="12" xfId="3" quotePrefix="1" applyFont="1" applyFill="1" applyBorder="1" applyAlignment="1">
      <alignment horizontal="center"/>
    </xf>
    <xf numFmtId="0" fontId="4" fillId="0" borderId="0" xfId="0" applyFont="1"/>
    <xf numFmtId="4" fontId="21" fillId="7" borderId="1" xfId="4" applyNumberFormat="1" applyFont="1" applyFill="1" applyBorder="1" applyAlignment="1">
      <alignment horizontal="right"/>
    </xf>
    <xf numFmtId="4" fontId="21" fillId="7" borderId="4" xfId="4" applyNumberFormat="1" applyFont="1" applyFill="1" applyBorder="1" applyAlignment="1">
      <alignment horizontal="right"/>
    </xf>
    <xf numFmtId="4" fontId="21" fillId="7" borderId="10" xfId="4" applyNumberFormat="1" applyFont="1" applyFill="1" applyBorder="1" applyAlignment="1">
      <alignment horizontal="right"/>
    </xf>
    <xf numFmtId="4" fontId="3" fillId="7" borderId="15" xfId="4" applyNumberFormat="1" applyFill="1" applyBorder="1" applyAlignment="1">
      <alignment horizontal="right"/>
    </xf>
    <xf numFmtId="4" fontId="21" fillId="7" borderId="18" xfId="4" applyNumberFormat="1" applyFont="1" applyFill="1" applyBorder="1" applyAlignment="1">
      <alignment horizontal="right"/>
    </xf>
    <xf numFmtId="4" fontId="3" fillId="7" borderId="2" xfId="4" applyNumberFormat="1" applyFill="1" applyBorder="1" applyAlignment="1">
      <alignment horizontal="right"/>
    </xf>
    <xf numFmtId="4" fontId="3" fillId="7" borderId="5" xfId="4" applyNumberFormat="1" applyFill="1" applyBorder="1" applyAlignment="1">
      <alignment horizontal="right"/>
    </xf>
    <xf numFmtId="4" fontId="21" fillId="7" borderId="11" xfId="4" applyNumberFormat="1" applyFont="1" applyFill="1" applyBorder="1" applyAlignment="1">
      <alignment horizontal="right"/>
    </xf>
    <xf numFmtId="4" fontId="3" fillId="7" borderId="16" xfId="4" applyNumberFormat="1" applyFill="1" applyBorder="1" applyAlignment="1">
      <alignment horizontal="right"/>
    </xf>
    <xf numFmtId="4" fontId="3" fillId="7" borderId="19" xfId="4" applyNumberFormat="1" applyFill="1" applyBorder="1" applyAlignment="1">
      <alignment horizontal="right"/>
    </xf>
    <xf numFmtId="4" fontId="3" fillId="7" borderId="11" xfId="4" applyNumberFormat="1" applyFill="1" applyBorder="1" applyAlignment="1">
      <alignment horizontal="right"/>
    </xf>
    <xf numFmtId="4" fontId="3" fillId="8" borderId="2" xfId="3" applyNumberFormat="1" applyFill="1" applyBorder="1" applyAlignment="1">
      <alignment horizontal="right"/>
    </xf>
    <xf numFmtId="4" fontId="3" fillId="8" borderId="5" xfId="3" applyNumberFormat="1" applyFill="1" applyBorder="1" applyAlignment="1">
      <alignment horizontal="right"/>
    </xf>
    <xf numFmtId="4" fontId="21" fillId="8" borderId="11" xfId="3" applyNumberFormat="1" applyFont="1" applyFill="1" applyBorder="1" applyAlignment="1">
      <alignment horizontal="right"/>
    </xf>
    <xf numFmtId="4" fontId="3" fillId="8" borderId="16" xfId="3" applyNumberFormat="1" applyFill="1" applyBorder="1" applyAlignment="1">
      <alignment horizontal="right"/>
    </xf>
    <xf numFmtId="4" fontId="3" fillId="8" borderId="19" xfId="3" applyNumberFormat="1" applyFill="1" applyBorder="1" applyAlignment="1">
      <alignment horizontal="right"/>
    </xf>
    <xf numFmtId="4" fontId="3" fillId="8" borderId="11" xfId="3" applyNumberFormat="1" applyFill="1" applyBorder="1" applyAlignment="1">
      <alignment horizontal="right"/>
    </xf>
    <xf numFmtId="4" fontId="3" fillId="8" borderId="3" xfId="3" applyNumberFormat="1" applyFill="1" applyBorder="1" applyAlignment="1">
      <alignment horizontal="right"/>
    </xf>
    <xf numFmtId="4" fontId="3" fillId="8" borderId="6" xfId="3" applyNumberFormat="1" applyFill="1" applyBorder="1" applyAlignment="1">
      <alignment horizontal="right"/>
    </xf>
    <xf numFmtId="4" fontId="3" fillId="8" borderId="12" xfId="3" applyNumberFormat="1" applyFill="1" applyBorder="1" applyAlignment="1">
      <alignment horizontal="right"/>
    </xf>
    <xf numFmtId="4" fontId="3" fillId="8" borderId="17" xfId="3" applyNumberFormat="1" applyFill="1" applyBorder="1" applyAlignment="1">
      <alignment horizontal="right"/>
    </xf>
    <xf numFmtId="4" fontId="3" fillId="8" borderId="20" xfId="3" applyNumberFormat="1" applyFill="1" applyBorder="1" applyAlignment="1">
      <alignment horizontal="right"/>
    </xf>
    <xf numFmtId="0" fontId="27" fillId="0" borderId="24" xfId="0" applyFont="1" applyBorder="1" applyAlignment="1">
      <alignment horizontal="center"/>
    </xf>
    <xf numFmtId="0" fontId="4" fillId="10" borderId="4" xfId="2" applyFont="1" applyFill="1" applyBorder="1" applyAlignment="1">
      <alignment horizontal="center"/>
    </xf>
    <xf numFmtId="0" fontId="4" fillId="10" borderId="5" xfId="2" applyFont="1" applyFill="1" applyBorder="1" applyAlignment="1">
      <alignment horizontal="center"/>
    </xf>
    <xf numFmtId="0" fontId="4" fillId="11" borderId="6" xfId="1" applyFont="1" applyFill="1" applyBorder="1" applyAlignment="1">
      <alignment horizontal="center"/>
    </xf>
    <xf numFmtId="0" fontId="4" fillId="11" borderId="5" xfId="1" applyFont="1" applyFill="1" applyBorder="1" applyAlignment="1">
      <alignment horizontal="center"/>
    </xf>
    <xf numFmtId="0" fontId="3" fillId="10" borderId="4" xfId="2" applyFill="1" applyBorder="1" applyAlignment="1">
      <alignment horizontal="center"/>
    </xf>
    <xf numFmtId="2" fontId="3" fillId="10" borderId="4" xfId="2" applyNumberFormat="1" applyFill="1" applyBorder="1" applyAlignment="1">
      <alignment horizontal="center"/>
    </xf>
    <xf numFmtId="11" fontId="3" fillId="10" borderId="4" xfId="2" applyNumberFormat="1" applyFill="1" applyBorder="1" applyAlignment="1">
      <alignment horizontal="center"/>
    </xf>
    <xf numFmtId="4" fontId="9" fillId="10" borderId="4" xfId="2" applyNumberFormat="1" applyFont="1" applyFill="1" applyBorder="1" applyAlignment="1">
      <alignment horizontal="center"/>
    </xf>
    <xf numFmtId="0" fontId="3" fillId="10" borderId="5" xfId="2" applyFill="1" applyBorder="1" applyAlignment="1">
      <alignment horizontal="center"/>
    </xf>
    <xf numFmtId="2" fontId="3" fillId="10" borderId="5" xfId="2" applyNumberFormat="1" applyFill="1" applyBorder="1" applyAlignment="1">
      <alignment horizontal="center"/>
    </xf>
    <xf numFmtId="11" fontId="3" fillId="10" borderId="5" xfId="2" applyNumberFormat="1" applyFill="1" applyBorder="1" applyAlignment="1">
      <alignment horizontal="center"/>
    </xf>
    <xf numFmtId="4" fontId="9" fillId="10" borderId="5" xfId="2" applyNumberFormat="1" applyFont="1" applyFill="1" applyBorder="1" applyAlignment="1">
      <alignment horizontal="center"/>
    </xf>
    <xf numFmtId="2" fontId="3" fillId="11" borderId="6" xfId="1" applyNumberFormat="1" applyFill="1" applyBorder="1" applyAlignment="1">
      <alignment horizontal="center"/>
    </xf>
    <xf numFmtId="11" fontId="3" fillId="11" borderId="6" xfId="1" applyNumberFormat="1" applyFill="1" applyBorder="1" applyAlignment="1">
      <alignment horizontal="center"/>
    </xf>
    <xf numFmtId="4" fontId="9" fillId="11" borderId="6" xfId="1" applyNumberFormat="1" applyFont="1" applyFill="1" applyBorder="1" applyAlignment="1">
      <alignment horizontal="center"/>
    </xf>
    <xf numFmtId="0" fontId="3" fillId="11" borderId="5" xfId="1" applyFill="1" applyBorder="1" applyAlignment="1">
      <alignment horizontal="center"/>
    </xf>
    <xf numFmtId="2" fontId="3" fillId="11" borderId="5" xfId="1" applyNumberFormat="1" applyFill="1" applyBorder="1" applyAlignment="1">
      <alignment horizontal="center"/>
    </xf>
    <xf numFmtId="11" fontId="3" fillId="11" borderId="5" xfId="1" applyNumberFormat="1" applyFill="1" applyBorder="1" applyAlignment="1">
      <alignment horizontal="center"/>
    </xf>
    <xf numFmtId="4" fontId="9" fillId="11" borderId="5" xfId="1" applyNumberFormat="1" applyFont="1" applyFill="1" applyBorder="1" applyAlignment="1">
      <alignment horizontal="center"/>
    </xf>
    <xf numFmtId="168" fontId="9" fillId="0" borderId="0" xfId="3" applyNumberFormat="1" applyFont="1" applyFill="1" applyBorder="1" applyAlignment="1">
      <alignment horizontal="center"/>
    </xf>
    <xf numFmtId="165" fontId="0" fillId="0" borderId="0" xfId="0" applyNumberFormat="1" applyAlignment="1">
      <alignment horizontal="center"/>
    </xf>
    <xf numFmtId="11" fontId="9" fillId="10" borderId="4" xfId="2" applyNumberFormat="1" applyFont="1" applyFill="1" applyBorder="1" applyAlignment="1">
      <alignment horizontal="center"/>
    </xf>
    <xf numFmtId="11" fontId="9" fillId="10" borderId="5" xfId="2" applyNumberFormat="1" applyFont="1" applyFill="1" applyBorder="1" applyAlignment="1">
      <alignment horizontal="center"/>
    </xf>
    <xf numFmtId="11" fontId="9" fillId="11" borderId="5" xfId="1" applyNumberFormat="1" applyFont="1" applyFill="1" applyBorder="1" applyAlignment="1">
      <alignment horizontal="center"/>
    </xf>
    <xf numFmtId="11" fontId="9" fillId="11" borderId="30" xfId="1" applyNumberFormat="1" applyFont="1" applyFill="1" applyBorder="1" applyAlignment="1">
      <alignment horizontal="center"/>
    </xf>
    <xf numFmtId="11" fontId="9" fillId="11" borderId="6" xfId="1" applyNumberFormat="1" applyFont="1" applyFill="1" applyBorder="1" applyAlignment="1">
      <alignment horizontal="center"/>
    </xf>
    <xf numFmtId="2" fontId="9" fillId="10" borderId="4" xfId="2" applyNumberFormat="1" applyFont="1" applyFill="1" applyBorder="1" applyAlignment="1">
      <alignment horizontal="center"/>
    </xf>
    <xf numFmtId="2" fontId="3" fillId="10" borderId="4" xfId="4" applyNumberFormat="1" applyFill="1" applyBorder="1" applyAlignment="1">
      <alignment horizontal="center"/>
    </xf>
    <xf numFmtId="2" fontId="9" fillId="10" borderId="5" xfId="1" applyNumberFormat="1" applyFont="1" applyFill="1" applyBorder="1" applyAlignment="1">
      <alignment horizontal="center"/>
    </xf>
    <xf numFmtId="4" fontId="9" fillId="10" borderId="5" xfId="1" applyNumberFormat="1" applyFont="1" applyFill="1" applyBorder="1" applyAlignment="1">
      <alignment horizontal="center"/>
    </xf>
    <xf numFmtId="2" fontId="9" fillId="10" borderId="5" xfId="2" applyNumberFormat="1" applyFont="1" applyFill="1" applyBorder="1" applyAlignment="1">
      <alignment horizontal="center"/>
    </xf>
    <xf numFmtId="2" fontId="9" fillId="11" borderId="5" xfId="1" applyNumberFormat="1" applyFont="1" applyFill="1" applyBorder="1" applyAlignment="1">
      <alignment horizontal="center"/>
    </xf>
    <xf numFmtId="2" fontId="9" fillId="11" borderId="6" xfId="1" applyNumberFormat="1" applyFont="1" applyFill="1" applyBorder="1" applyAlignment="1">
      <alignment horizontal="center"/>
    </xf>
    <xf numFmtId="3" fontId="3" fillId="10" borderId="5" xfId="2" applyNumberFormat="1" applyFill="1" applyBorder="1" applyAlignment="1">
      <alignment horizontal="center"/>
    </xf>
    <xf numFmtId="0" fontId="10" fillId="10" borderId="5" xfId="2" applyFont="1" applyFill="1" applyBorder="1" applyAlignment="1">
      <alignment horizontal="center"/>
    </xf>
    <xf numFmtId="0" fontId="10" fillId="10" borderId="11" xfId="2" applyFont="1" applyFill="1" applyBorder="1" applyAlignment="1">
      <alignment horizontal="center"/>
    </xf>
    <xf numFmtId="0" fontId="10" fillId="11" borderId="6" xfId="1" applyFont="1" applyFill="1" applyBorder="1" applyAlignment="1">
      <alignment horizontal="center"/>
    </xf>
    <xf numFmtId="0" fontId="10" fillId="11" borderId="12" xfId="1" applyFont="1" applyFill="1" applyBorder="1" applyAlignment="1">
      <alignment horizontal="center"/>
    </xf>
    <xf numFmtId="0" fontId="10" fillId="11" borderId="5" xfId="1" applyFont="1" applyFill="1" applyBorder="1" applyAlignment="1">
      <alignment horizontal="center"/>
    </xf>
    <xf numFmtId="0" fontId="10" fillId="11" borderId="11" xfId="1" applyFont="1" applyFill="1" applyBorder="1" applyAlignment="1">
      <alignment horizontal="center"/>
    </xf>
    <xf numFmtId="4" fontId="16" fillId="10" borderId="4" xfId="2" applyNumberFormat="1" applyFont="1" applyFill="1" applyBorder="1" applyAlignment="1">
      <alignment horizontal="center"/>
    </xf>
    <xf numFmtId="0" fontId="16" fillId="11" borderId="30" xfId="1" applyFont="1" applyFill="1" applyBorder="1" applyAlignment="1">
      <alignment horizontal="center"/>
    </xf>
    <xf numFmtId="4" fontId="16" fillId="10" borderId="10" xfId="2" applyNumberFormat="1" applyFont="1" applyFill="1" applyBorder="1" applyAlignment="1">
      <alignment horizontal="center"/>
    </xf>
    <xf numFmtId="0" fontId="16" fillId="11" borderId="53" xfId="1" applyFont="1" applyFill="1" applyBorder="1" applyAlignment="1">
      <alignment horizontal="center"/>
    </xf>
    <xf numFmtId="3" fontId="10" fillId="10" borderId="5" xfId="2" applyNumberFormat="1" applyFont="1" applyFill="1" applyBorder="1" applyAlignment="1">
      <alignment horizontal="center"/>
    </xf>
    <xf numFmtId="3" fontId="10" fillId="10" borderId="11" xfId="2" applyNumberFormat="1" applyFont="1" applyFill="1" applyBorder="1" applyAlignment="1">
      <alignment horizontal="center"/>
    </xf>
    <xf numFmtId="3" fontId="9" fillId="10" borderId="4" xfId="2" applyNumberFormat="1" applyFont="1" applyFill="1" applyBorder="1" applyAlignment="1">
      <alignment horizontal="center"/>
    </xf>
    <xf numFmtId="169" fontId="3" fillId="10" borderId="5" xfId="2" applyNumberFormat="1" applyFill="1" applyBorder="1" applyAlignment="1">
      <alignment horizontal="center"/>
    </xf>
    <xf numFmtId="4" fontId="3" fillId="10" borderId="5" xfId="2" applyNumberFormat="1" applyFill="1" applyBorder="1" applyAlignment="1">
      <alignment horizontal="center"/>
    </xf>
    <xf numFmtId="3" fontId="3" fillId="11" borderId="6" xfId="1" applyNumberFormat="1" applyFill="1" applyBorder="1" applyAlignment="1">
      <alignment horizontal="center"/>
    </xf>
    <xf numFmtId="4" fontId="3" fillId="11" borderId="6" xfId="1" applyNumberFormat="1" applyFill="1" applyBorder="1" applyAlignment="1">
      <alignment horizontal="center"/>
    </xf>
    <xf numFmtId="3" fontId="3" fillId="11" borderId="5" xfId="1" applyNumberFormat="1" applyFill="1" applyBorder="1" applyAlignment="1">
      <alignment horizontal="center"/>
    </xf>
    <xf numFmtId="4" fontId="3" fillId="11" borderId="5" xfId="1" applyNumberFormat="1" applyFill="1" applyBorder="1" applyAlignment="1">
      <alignment horizontal="center"/>
    </xf>
    <xf numFmtId="3" fontId="3" fillId="11" borderId="5" xfId="2" applyNumberFormat="1" applyFill="1" applyBorder="1" applyAlignment="1">
      <alignment horizontal="center"/>
    </xf>
    <xf numFmtId="4" fontId="3" fillId="11" borderId="5" xfId="2" applyNumberFormat="1" applyFill="1" applyBorder="1" applyAlignment="1">
      <alignment horizontal="center"/>
    </xf>
    <xf numFmtId="11" fontId="3" fillId="10" borderId="43" xfId="4" applyNumberFormat="1" applyFill="1" applyBorder="1" applyAlignment="1">
      <alignment horizontal="center"/>
    </xf>
    <xf numFmtId="2" fontId="9" fillId="10" borderId="43" xfId="4" applyNumberFormat="1" applyFont="1" applyFill="1" applyBorder="1" applyAlignment="1">
      <alignment horizontal="center"/>
    </xf>
    <xf numFmtId="4" fontId="3" fillId="10" borderId="43" xfId="4" applyNumberFormat="1" applyFill="1" applyBorder="1" applyAlignment="1">
      <alignment horizontal="center"/>
    </xf>
    <xf numFmtId="11" fontId="3" fillId="10" borderId="5" xfId="1" applyNumberFormat="1" applyFill="1" applyBorder="1" applyAlignment="1">
      <alignment horizontal="center"/>
    </xf>
    <xf numFmtId="4" fontId="3" fillId="10" borderId="5" xfId="1" applyNumberFormat="1" applyFill="1" applyBorder="1" applyAlignment="1">
      <alignment horizontal="center"/>
    </xf>
    <xf numFmtId="168" fontId="3" fillId="10" borderId="5" xfId="2" applyNumberFormat="1" applyFill="1" applyBorder="1" applyAlignment="1">
      <alignment horizontal="center"/>
    </xf>
    <xf numFmtId="168" fontId="3" fillId="10" borderId="5" xfId="1" applyNumberFormat="1" applyFill="1" applyBorder="1" applyAlignment="1">
      <alignment horizontal="center"/>
    </xf>
    <xf numFmtId="168" fontId="3" fillId="11" borderId="6" xfId="1" applyNumberFormat="1" applyFill="1" applyBorder="1" applyAlignment="1">
      <alignment horizontal="center"/>
    </xf>
    <xf numFmtId="168" fontId="3" fillId="11" borderId="5" xfId="1" applyNumberFormat="1" applyFill="1" applyBorder="1" applyAlignment="1">
      <alignment horizontal="center"/>
    </xf>
    <xf numFmtId="168" fontId="3" fillId="11" borderId="5" xfId="2" applyNumberFormat="1" applyFill="1" applyBorder="1" applyAlignment="1">
      <alignment horizontal="center"/>
    </xf>
    <xf numFmtId="164" fontId="4" fillId="7" borderId="21" xfId="4" applyNumberFormat="1" applyFont="1" applyFill="1" applyBorder="1"/>
    <xf numFmtId="43" fontId="4" fillId="7" borderId="21" xfId="4" applyNumberFormat="1" applyFont="1" applyFill="1" applyBorder="1"/>
    <xf numFmtId="164" fontId="4" fillId="10" borderId="22" xfId="2" applyNumberFormat="1" applyFont="1" applyFill="1" applyBorder="1"/>
    <xf numFmtId="43" fontId="4" fillId="10" borderId="22" xfId="2" applyNumberFormat="1" applyFont="1" applyFill="1" applyBorder="1"/>
    <xf numFmtId="164" fontId="7" fillId="0" borderId="23" xfId="0" applyNumberFormat="1" applyFont="1" applyBorder="1"/>
    <xf numFmtId="43" fontId="7" fillId="0" borderId="23" xfId="0" applyNumberFormat="1" applyFont="1" applyBorder="1"/>
    <xf numFmtId="166" fontId="7" fillId="0" borderId="23" xfId="0" applyNumberFormat="1" applyFont="1" applyBorder="1"/>
    <xf numFmtId="1" fontId="16" fillId="10" borderId="5" xfId="1" applyNumberFormat="1" applyFont="1" applyFill="1" applyBorder="1" applyAlignment="1">
      <alignment horizontal="center"/>
    </xf>
    <xf numFmtId="9" fontId="21" fillId="10" borderId="10" xfId="6" applyFont="1" applyFill="1" applyBorder="1" applyAlignment="1">
      <alignment horizontal="center"/>
    </xf>
    <xf numFmtId="4" fontId="21" fillId="10" borderId="18" xfId="2" applyNumberFormat="1" applyFont="1" applyFill="1" applyBorder="1" applyAlignment="1">
      <alignment horizontal="right"/>
    </xf>
    <xf numFmtId="4" fontId="21" fillId="10" borderId="4" xfId="2" applyNumberFormat="1" applyFont="1" applyFill="1" applyBorder="1" applyAlignment="1">
      <alignment horizontal="right"/>
    </xf>
    <xf numFmtId="4" fontId="21" fillId="10" borderId="10" xfId="2" applyNumberFormat="1" applyFont="1" applyFill="1" applyBorder="1" applyAlignment="1">
      <alignment horizontal="right"/>
    </xf>
    <xf numFmtId="4" fontId="3" fillId="10" borderId="15" xfId="2" applyNumberFormat="1" applyFill="1" applyBorder="1" applyAlignment="1">
      <alignment horizontal="right"/>
    </xf>
    <xf numFmtId="4" fontId="21" fillId="10" borderId="1" xfId="2" applyNumberFormat="1" applyFont="1" applyFill="1" applyBorder="1" applyAlignment="1">
      <alignment horizontal="right"/>
    </xf>
    <xf numFmtId="0" fontId="10" fillId="10" borderId="5" xfId="1" applyFont="1" applyFill="1" applyBorder="1" applyAlignment="1">
      <alignment horizontal="center"/>
    </xf>
    <xf numFmtId="9" fontId="21" fillId="10" borderId="11" xfId="6" applyFont="1" applyFill="1" applyBorder="1" applyAlignment="1">
      <alignment horizontal="center"/>
    </xf>
    <xf numFmtId="4" fontId="21" fillId="10" borderId="19" xfId="2" applyNumberFormat="1" applyFont="1" applyFill="1" applyBorder="1" applyAlignment="1">
      <alignment horizontal="right"/>
    </xf>
    <xf numFmtId="4" fontId="21" fillId="10" borderId="5" xfId="2" applyNumberFormat="1" applyFont="1" applyFill="1" applyBorder="1" applyAlignment="1">
      <alignment horizontal="right"/>
    </xf>
    <xf numFmtId="4" fontId="21" fillId="10" borderId="11" xfId="2" applyNumberFormat="1" applyFont="1" applyFill="1" applyBorder="1" applyAlignment="1">
      <alignment horizontal="right"/>
    </xf>
    <xf numFmtId="4" fontId="3" fillId="10" borderId="16" xfId="2" applyNumberFormat="1" applyFill="1" applyBorder="1" applyAlignment="1">
      <alignment horizontal="right"/>
    </xf>
    <xf numFmtId="4" fontId="21" fillId="10" borderId="2" xfId="2" applyNumberFormat="1" applyFont="1" applyFill="1" applyBorder="1" applyAlignment="1">
      <alignment horizontal="right"/>
    </xf>
    <xf numFmtId="4" fontId="21" fillId="10" borderId="11" xfId="1" applyNumberFormat="1" applyFont="1" applyFill="1" applyBorder="1" applyAlignment="1">
      <alignment horizontal="right"/>
    </xf>
    <xf numFmtId="4" fontId="3" fillId="10" borderId="11" xfId="2" applyNumberFormat="1" applyFill="1" applyBorder="1" applyAlignment="1">
      <alignment horizontal="right"/>
    </xf>
    <xf numFmtId="167" fontId="16" fillId="11" borderId="5" xfId="1" applyNumberFormat="1" applyFont="1" applyFill="1" applyBorder="1" applyAlignment="1">
      <alignment horizontal="center"/>
    </xf>
    <xf numFmtId="9" fontId="21" fillId="11" borderId="11" xfId="6" applyFont="1" applyFill="1" applyBorder="1" applyAlignment="1">
      <alignment horizontal="center"/>
    </xf>
    <xf numFmtId="4" fontId="21" fillId="11" borderId="19" xfId="1" applyNumberFormat="1" applyFont="1" applyFill="1" applyBorder="1" applyAlignment="1">
      <alignment horizontal="right"/>
    </xf>
    <xf numFmtId="4" fontId="21" fillId="11" borderId="5" xfId="1" applyNumberFormat="1" applyFont="1" applyFill="1" applyBorder="1" applyAlignment="1">
      <alignment horizontal="right"/>
    </xf>
    <xf numFmtId="4" fontId="21" fillId="11" borderId="11" xfId="1" applyNumberFormat="1" applyFont="1" applyFill="1" applyBorder="1" applyAlignment="1">
      <alignment horizontal="right"/>
    </xf>
    <xf numFmtId="4" fontId="3" fillId="11" borderId="16" xfId="1" applyNumberFormat="1" applyFill="1" applyBorder="1" applyAlignment="1">
      <alignment horizontal="right"/>
    </xf>
    <xf numFmtId="4" fontId="21" fillId="11" borderId="2" xfId="1" applyNumberFormat="1" applyFont="1" applyFill="1" applyBorder="1" applyAlignment="1">
      <alignment horizontal="right"/>
    </xf>
    <xf numFmtId="4" fontId="3" fillId="11" borderId="11" xfId="1" applyNumberFormat="1" applyFill="1" applyBorder="1" applyAlignment="1">
      <alignment horizontal="right"/>
    </xf>
    <xf numFmtId="4" fontId="21" fillId="11" borderId="20" xfId="1" applyNumberFormat="1" applyFont="1" applyFill="1" applyBorder="1" applyAlignment="1">
      <alignment horizontal="right"/>
    </xf>
    <xf numFmtId="4" fontId="21" fillId="11" borderId="6" xfId="1" applyNumberFormat="1" applyFont="1" applyFill="1" applyBorder="1" applyAlignment="1">
      <alignment horizontal="right"/>
    </xf>
    <xf numFmtId="4" fontId="3" fillId="11" borderId="12" xfId="1" applyNumberFormat="1" applyFill="1" applyBorder="1" applyAlignment="1">
      <alignment horizontal="right"/>
    </xf>
    <xf numFmtId="4" fontId="3" fillId="11" borderId="17" xfId="1" applyNumberFormat="1" applyFill="1" applyBorder="1" applyAlignment="1">
      <alignment horizontal="right"/>
    </xf>
    <xf numFmtId="4" fontId="21" fillId="11" borderId="3" xfId="1" applyNumberFormat="1" applyFont="1" applyFill="1" applyBorder="1" applyAlignment="1">
      <alignment horizontal="right"/>
    </xf>
    <xf numFmtId="9" fontId="21" fillId="11" borderId="6" xfId="6" applyFont="1" applyFill="1" applyBorder="1" applyAlignment="1">
      <alignment horizontal="center"/>
    </xf>
    <xf numFmtId="0" fontId="29" fillId="0" borderId="0" xfId="0" applyFont="1"/>
    <xf numFmtId="0" fontId="0" fillId="0" borderId="0" xfId="0" applyAlignment="1">
      <alignment wrapText="1"/>
    </xf>
    <xf numFmtId="1" fontId="0" fillId="0" borderId="0" xfId="0" applyNumberFormat="1" applyAlignment="1">
      <alignment horizontal="right"/>
    </xf>
    <xf numFmtId="165" fontId="0" fillId="0" borderId="0" xfId="0" applyNumberFormat="1"/>
    <xf numFmtId="0" fontId="14" fillId="0" borderId="0" xfId="5" applyFont="1" applyFill="1" applyAlignment="1">
      <alignment wrapText="1"/>
    </xf>
    <xf numFmtId="0" fontId="34" fillId="0" borderId="0" xfId="0" applyFont="1"/>
    <xf numFmtId="0" fontId="0" fillId="0" borderId="31" xfId="0" applyBorder="1" applyAlignment="1">
      <alignment horizontal="left"/>
    </xf>
    <xf numFmtId="2" fontId="3" fillId="0" borderId="32" xfId="4" applyNumberFormat="1" applyFill="1" applyBorder="1" applyAlignment="1">
      <alignment horizontal="right" wrapText="1"/>
    </xf>
    <xf numFmtId="0" fontId="0" fillId="0" borderId="32" xfId="0" applyBorder="1" applyAlignment="1">
      <alignment horizontal="left"/>
    </xf>
    <xf numFmtId="2" fontId="0" fillId="0" borderId="33" xfId="0" applyNumberFormat="1" applyBorder="1"/>
    <xf numFmtId="2" fontId="3" fillId="0" borderId="5" xfId="4" applyNumberFormat="1" applyFill="1" applyBorder="1" applyAlignment="1">
      <alignment horizontal="right" wrapText="1"/>
    </xf>
    <xf numFmtId="165" fontId="3" fillId="0" borderId="5" xfId="4" applyNumberFormat="1" applyFill="1" applyBorder="1" applyAlignment="1">
      <alignment horizontal="right" wrapText="1"/>
    </xf>
    <xf numFmtId="0" fontId="7" fillId="0" borderId="0" xfId="0" applyFont="1" applyAlignment="1">
      <alignment wrapText="1"/>
    </xf>
    <xf numFmtId="0" fontId="37" fillId="0" borderId="0" xfId="0" applyFont="1"/>
    <xf numFmtId="0" fontId="38" fillId="0" borderId="0" xfId="0" applyFont="1"/>
    <xf numFmtId="9" fontId="21" fillId="11" borderId="26" xfId="6" applyFont="1" applyFill="1" applyBorder="1" applyAlignment="1">
      <alignment horizontal="center"/>
    </xf>
    <xf numFmtId="1" fontId="10" fillId="11" borderId="5" xfId="1" applyNumberFormat="1" applyFont="1" applyFill="1" applyBorder="1" applyAlignment="1">
      <alignment horizontal="center"/>
    </xf>
    <xf numFmtId="0" fontId="4" fillId="7" borderId="18" xfId="2" applyFont="1" applyFill="1" applyBorder="1" applyAlignment="1">
      <alignment horizontal="left" wrapText="1"/>
    </xf>
    <xf numFmtId="0" fontId="4" fillId="4" borderId="54" xfId="3" applyFont="1" applyBorder="1" applyAlignment="1">
      <alignment horizontal="left" wrapText="1"/>
    </xf>
    <xf numFmtId="0" fontId="4" fillId="5" borderId="54" xfId="4" applyFont="1" applyBorder="1" applyAlignment="1">
      <alignment horizontal="left" wrapText="1"/>
    </xf>
    <xf numFmtId="0" fontId="4" fillId="8" borderId="55" xfId="3" applyFont="1" applyFill="1" applyBorder="1" applyAlignment="1">
      <alignment horizontal="center"/>
    </xf>
    <xf numFmtId="0" fontId="4" fillId="7" borderId="4" xfId="4" applyFont="1" applyFill="1" applyBorder="1" applyAlignment="1">
      <alignment horizontal="center"/>
    </xf>
    <xf numFmtId="0" fontId="4" fillId="8" borderId="5" xfId="3" applyFont="1" applyFill="1" applyBorder="1" applyAlignment="1">
      <alignment horizontal="center"/>
    </xf>
    <xf numFmtId="0" fontId="4" fillId="7" borderId="5" xfId="4" applyFont="1" applyFill="1" applyBorder="1" applyAlignment="1">
      <alignment horizontal="center"/>
    </xf>
    <xf numFmtId="0" fontId="4" fillId="10" borderId="10" xfId="2" applyFont="1" applyFill="1" applyBorder="1" applyAlignment="1">
      <alignment horizontal="left" wrapText="1"/>
    </xf>
    <xf numFmtId="0" fontId="4" fillId="11" borderId="11" xfId="1" applyFont="1" applyFill="1" applyBorder="1" applyAlignment="1">
      <alignment horizontal="left" wrapText="1"/>
    </xf>
    <xf numFmtId="0" fontId="4" fillId="10" borderId="11" xfId="1" applyFont="1" applyFill="1" applyBorder="1" applyAlignment="1">
      <alignment horizontal="left" wrapText="1"/>
    </xf>
    <xf numFmtId="0" fontId="4" fillId="2" borderId="12" xfId="1" applyFont="1" applyBorder="1" applyAlignment="1">
      <alignment horizontal="left" wrapText="1"/>
    </xf>
    <xf numFmtId="0" fontId="14" fillId="0" borderId="0" xfId="5" applyFont="1" applyFill="1" applyAlignment="1">
      <alignment horizontal="left" wrapText="1"/>
    </xf>
    <xf numFmtId="0" fontId="14" fillId="0" borderId="0" xfId="5" applyFont="1" applyAlignment="1">
      <alignment horizontal="left" wrapText="1"/>
    </xf>
    <xf numFmtId="0" fontId="7" fillId="0" borderId="7" xfId="0" applyFont="1" applyBorder="1" applyAlignment="1">
      <alignment horizontal="left" vertical="center"/>
    </xf>
    <xf numFmtId="0" fontId="7" fillId="0" borderId="9" xfId="0" applyFont="1" applyBorder="1" applyAlignment="1">
      <alignment horizontal="left" vertical="center"/>
    </xf>
    <xf numFmtId="0" fontId="7" fillId="0" borderId="13" xfId="0" applyFont="1" applyBorder="1" applyAlignment="1">
      <alignment horizontal="left" vertical="center"/>
    </xf>
    <xf numFmtId="0" fontId="4" fillId="0" borderId="7"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21" xfId="2" applyFont="1" applyFill="1" applyBorder="1" applyAlignment="1">
      <alignment horizontal="center" vertical="center" wrapText="1"/>
    </xf>
    <xf numFmtId="0" fontId="4" fillId="0" borderId="9"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22" xfId="2" applyFont="1" applyFill="1" applyBorder="1" applyAlignment="1">
      <alignment horizontal="center" vertical="center" wrapText="1"/>
    </xf>
    <xf numFmtId="0" fontId="4" fillId="0" borderId="13" xfId="2" applyFont="1" applyFill="1" applyBorder="1" applyAlignment="1">
      <alignment horizontal="center" vertical="center" wrapText="1"/>
    </xf>
    <xf numFmtId="0" fontId="4" fillId="0" borderId="14" xfId="2" applyFont="1" applyFill="1" applyBorder="1" applyAlignment="1">
      <alignment horizontal="center" vertical="center" wrapText="1"/>
    </xf>
    <xf numFmtId="0" fontId="4" fillId="0" borderId="23" xfId="2" applyFont="1" applyFill="1" applyBorder="1" applyAlignment="1">
      <alignment horizontal="center" vertical="center" wrapText="1"/>
    </xf>
    <xf numFmtId="0" fontId="4" fillId="5" borderId="50" xfId="4" applyFont="1" applyBorder="1" applyAlignment="1">
      <alignment horizontal="center" wrapText="1"/>
    </xf>
    <xf numFmtId="0" fontId="4" fillId="5" borderId="51" xfId="4" applyFont="1" applyBorder="1" applyAlignment="1">
      <alignment horizontal="center" wrapText="1"/>
    </xf>
    <xf numFmtId="0" fontId="4" fillId="5" borderId="52" xfId="4" applyFont="1" applyBorder="1" applyAlignment="1">
      <alignment horizontal="center" wrapText="1"/>
    </xf>
    <xf numFmtId="3" fontId="28" fillId="7" borderId="47" xfId="4" applyNumberFormat="1" applyFont="1" applyFill="1" applyBorder="1" applyAlignment="1">
      <alignment horizontal="center"/>
    </xf>
    <xf numFmtId="3" fontId="28" fillId="7" borderId="48" xfId="4" applyNumberFormat="1" applyFont="1" applyFill="1" applyBorder="1" applyAlignment="1">
      <alignment horizontal="center"/>
    </xf>
    <xf numFmtId="3" fontId="28" fillId="7" borderId="49" xfId="4" applyNumberFormat="1" applyFont="1" applyFill="1" applyBorder="1" applyAlignment="1">
      <alignment horizontal="center"/>
    </xf>
    <xf numFmtId="0" fontId="4" fillId="3" borderId="40" xfId="2" applyFont="1" applyBorder="1" applyAlignment="1">
      <alignment horizontal="center" vertical="center"/>
    </xf>
    <xf numFmtId="0" fontId="4" fillId="3" borderId="41" xfId="2" applyFont="1" applyBorder="1" applyAlignment="1">
      <alignment horizontal="center" vertical="center"/>
    </xf>
    <xf numFmtId="0" fontId="4" fillId="3" borderId="42" xfId="2" applyFont="1" applyBorder="1" applyAlignment="1">
      <alignment horizontal="center" vertical="center"/>
    </xf>
    <xf numFmtId="0" fontId="4" fillId="3" borderId="40" xfId="2" applyFont="1" applyBorder="1" applyAlignment="1">
      <alignment horizontal="center" wrapText="1"/>
    </xf>
    <xf numFmtId="0" fontId="4" fillId="3" borderId="41" xfId="2" applyFont="1" applyBorder="1" applyAlignment="1">
      <alignment horizontal="center" wrapText="1"/>
    </xf>
    <xf numFmtId="0" fontId="4" fillId="3" borderId="42" xfId="2" applyFont="1" applyBorder="1" applyAlignment="1">
      <alignment horizontal="center" wrapText="1"/>
    </xf>
    <xf numFmtId="4" fontId="4" fillId="10" borderId="40" xfId="2" applyNumberFormat="1" applyFont="1" applyFill="1" applyBorder="1" applyAlignment="1">
      <alignment horizontal="center"/>
    </xf>
    <xf numFmtId="4" fontId="4" fillId="10" borderId="41" xfId="2" applyNumberFormat="1" applyFont="1" applyFill="1" applyBorder="1" applyAlignment="1">
      <alignment horizontal="center"/>
    </xf>
    <xf numFmtId="4" fontId="4" fillId="10" borderId="42" xfId="2" applyNumberFormat="1" applyFont="1" applyFill="1" applyBorder="1" applyAlignment="1">
      <alignment horizontal="center"/>
    </xf>
    <xf numFmtId="0" fontId="6" fillId="6" borderId="27" xfId="0" applyFont="1" applyFill="1" applyBorder="1" applyAlignment="1">
      <alignment horizontal="center" vertical="center"/>
    </xf>
    <xf numFmtId="0" fontId="6" fillId="6" borderId="28" xfId="0" applyFont="1" applyFill="1" applyBorder="1" applyAlignment="1">
      <alignment horizontal="center" vertical="center"/>
    </xf>
    <xf numFmtId="0" fontId="6" fillId="6" borderId="29" xfId="0" applyFont="1" applyFill="1" applyBorder="1" applyAlignment="1">
      <alignment horizontal="center" vertical="center"/>
    </xf>
    <xf numFmtId="4" fontId="3" fillId="9" borderId="9" xfId="4" applyNumberFormat="1" applyFill="1" applyBorder="1" applyAlignment="1">
      <alignment horizontal="center"/>
    </xf>
    <xf numFmtId="4" fontId="3" fillId="9" borderId="0" xfId="4" applyNumberFormat="1" applyFill="1" applyBorder="1" applyAlignment="1">
      <alignment horizontal="center"/>
    </xf>
    <xf numFmtId="4" fontId="3" fillId="9" borderId="22" xfId="4" applyNumberFormat="1" applyFill="1" applyBorder="1" applyAlignment="1">
      <alignment horizontal="center"/>
    </xf>
  </cellXfs>
  <cellStyles count="7">
    <cellStyle name="20% - Accent4" xfId="1" builtinId="42"/>
    <cellStyle name="20% - Accent5" xfId="3" builtinId="46"/>
    <cellStyle name="40% - Accent4" xfId="2" builtinId="43"/>
    <cellStyle name="40% - Accent5" xfId="4" builtinId="47"/>
    <cellStyle name="Hyperlink" xfId="5" builtinId="8"/>
    <cellStyle name="Normal" xfId="0" builtinId="0"/>
    <cellStyle name="Percent" xfId="6"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107674</xdr:colOff>
      <xdr:row>207</xdr:row>
      <xdr:rowOff>0</xdr:rowOff>
    </xdr:from>
    <xdr:to>
      <xdr:col>7</xdr:col>
      <xdr:colOff>654967</xdr:colOff>
      <xdr:row>223</xdr:row>
      <xdr:rowOff>70570</xdr:rowOff>
    </xdr:to>
    <xdr:pic>
      <xdr:nvPicPr>
        <xdr:cNvPr id="2" name="Picture 1">
          <a:extLst>
            <a:ext uri="{FF2B5EF4-FFF2-40B4-BE49-F238E27FC236}">
              <a16:creationId xmlns:a16="http://schemas.microsoft.com/office/drawing/2014/main" id="{C7F02ECE-95B3-447B-AA64-CD218886491C}"/>
            </a:ext>
          </a:extLst>
        </xdr:cNvPr>
        <xdr:cNvPicPr>
          <a:picLocks noChangeAspect="1"/>
        </xdr:cNvPicPr>
      </xdr:nvPicPr>
      <xdr:blipFill>
        <a:blip xmlns:r="http://schemas.openxmlformats.org/officeDocument/2006/relationships" r:embed="rId1"/>
        <a:stretch>
          <a:fillRect/>
        </a:stretch>
      </xdr:blipFill>
      <xdr:spPr>
        <a:xfrm>
          <a:off x="4847314" y="24384000"/>
          <a:ext cx="6247053" cy="2996651"/>
        </a:xfrm>
        <a:prstGeom prst="rect">
          <a:avLst/>
        </a:prstGeom>
        <a:ln w="19050">
          <a:solidFill>
            <a:schemeClr val="tx1"/>
          </a:solidFill>
        </a:ln>
      </xdr:spPr>
    </xdr:pic>
    <xdr:clientData/>
  </xdr:twoCellAnchor>
  <xdr:twoCellAnchor>
    <xdr:from>
      <xdr:col>3</xdr:col>
      <xdr:colOff>1377049</xdr:colOff>
      <xdr:row>220</xdr:row>
      <xdr:rowOff>168303</xdr:rowOff>
    </xdr:from>
    <xdr:to>
      <xdr:col>7</xdr:col>
      <xdr:colOff>544002</xdr:colOff>
      <xdr:row>221</xdr:row>
      <xdr:rowOff>168303</xdr:rowOff>
    </xdr:to>
    <xdr:sp macro="" textlink="">
      <xdr:nvSpPr>
        <xdr:cNvPr id="10" name="Rectangle 9">
          <a:extLst>
            <a:ext uri="{FF2B5EF4-FFF2-40B4-BE49-F238E27FC236}">
              <a16:creationId xmlns:a16="http://schemas.microsoft.com/office/drawing/2014/main" id="{05F2E661-24FB-4A35-802A-BC9A0E15D30F}"/>
            </a:ext>
          </a:extLst>
        </xdr:cNvPr>
        <xdr:cNvSpPr/>
      </xdr:nvSpPr>
      <xdr:spPr>
        <a:xfrm>
          <a:off x="4511188" y="27567173"/>
          <a:ext cx="4865388" cy="18553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34627</xdr:colOff>
      <xdr:row>217</xdr:row>
      <xdr:rowOff>157442</xdr:rowOff>
    </xdr:from>
    <xdr:to>
      <xdr:col>6</xdr:col>
      <xdr:colOff>998221</xdr:colOff>
      <xdr:row>222</xdr:row>
      <xdr:rowOff>155537</xdr:rowOff>
    </xdr:to>
    <xdr:sp macro="" textlink="">
      <xdr:nvSpPr>
        <xdr:cNvPr id="11" name="Rectangle 10">
          <a:extLst>
            <a:ext uri="{FF2B5EF4-FFF2-40B4-BE49-F238E27FC236}">
              <a16:creationId xmlns:a16="http://schemas.microsoft.com/office/drawing/2014/main" id="{5C189E1F-FD79-43FF-A171-10A2159A75F4}"/>
            </a:ext>
          </a:extLst>
        </xdr:cNvPr>
        <xdr:cNvSpPr/>
      </xdr:nvSpPr>
      <xdr:spPr>
        <a:xfrm>
          <a:off x="9049087" y="26370242"/>
          <a:ext cx="963594" cy="958215"/>
        </a:xfrm>
        <a:prstGeom prst="rect">
          <a:avLst/>
        </a:prstGeom>
        <a:noFill/>
        <a:ln w="190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1029036</xdr:colOff>
      <xdr:row>217</xdr:row>
      <xdr:rowOff>159346</xdr:rowOff>
    </xdr:from>
    <xdr:to>
      <xdr:col>7</xdr:col>
      <xdr:colOff>556260</xdr:colOff>
      <xdr:row>222</xdr:row>
      <xdr:rowOff>149821</xdr:rowOff>
    </xdr:to>
    <xdr:sp macro="" textlink="">
      <xdr:nvSpPr>
        <xdr:cNvPr id="12" name="Rectangle 11">
          <a:extLst>
            <a:ext uri="{FF2B5EF4-FFF2-40B4-BE49-F238E27FC236}">
              <a16:creationId xmlns:a16="http://schemas.microsoft.com/office/drawing/2014/main" id="{D8F2CA27-DB15-4655-BECD-6014D9FD2E84}"/>
            </a:ext>
          </a:extLst>
        </xdr:cNvPr>
        <xdr:cNvSpPr/>
      </xdr:nvSpPr>
      <xdr:spPr>
        <a:xfrm>
          <a:off x="10043496" y="26372146"/>
          <a:ext cx="952164" cy="950595"/>
        </a:xfrm>
        <a:prstGeom prst="rect">
          <a:avLst/>
        </a:prstGeom>
        <a:noFill/>
        <a:ln w="190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89982</xdr:colOff>
      <xdr:row>169</xdr:row>
      <xdr:rowOff>166961</xdr:rowOff>
    </xdr:from>
    <xdr:to>
      <xdr:col>7</xdr:col>
      <xdr:colOff>247560</xdr:colOff>
      <xdr:row>196</xdr:row>
      <xdr:rowOff>169197</xdr:rowOff>
    </xdr:to>
    <xdr:pic>
      <xdr:nvPicPr>
        <xdr:cNvPr id="21" name="Picture 17">
          <a:extLst>
            <a:ext uri="{FF2B5EF4-FFF2-40B4-BE49-F238E27FC236}">
              <a16:creationId xmlns:a16="http://schemas.microsoft.com/office/drawing/2014/main" id="{4C8F1FDC-00E0-3D97-3C27-9C66E2F6F10D}"/>
            </a:ext>
          </a:extLst>
        </xdr:cNvPr>
        <xdr:cNvPicPr>
          <a:picLocks noChangeAspect="1"/>
        </xdr:cNvPicPr>
      </xdr:nvPicPr>
      <xdr:blipFill>
        <a:blip xmlns:r="http://schemas.openxmlformats.org/officeDocument/2006/relationships" r:embed="rId2"/>
        <a:stretch>
          <a:fillRect/>
        </a:stretch>
      </xdr:blipFill>
      <xdr:spPr>
        <a:xfrm>
          <a:off x="4651096" y="33292190"/>
          <a:ext cx="4432398" cy="4939996"/>
        </a:xfrm>
        <a:prstGeom prst="rect">
          <a:avLst/>
        </a:prstGeom>
        <a:ln w="12700">
          <a:solidFill>
            <a:schemeClr val="tx1"/>
          </a:solidFill>
        </a:ln>
      </xdr:spPr>
    </xdr:pic>
    <xdr:clientData/>
  </xdr:twoCellAnchor>
  <xdr:twoCellAnchor editAs="oneCell">
    <xdr:from>
      <xdr:col>4</xdr:col>
      <xdr:colOff>63853</xdr:colOff>
      <xdr:row>151</xdr:row>
      <xdr:rowOff>57400</xdr:rowOff>
    </xdr:from>
    <xdr:to>
      <xdr:col>6</xdr:col>
      <xdr:colOff>167421</xdr:colOff>
      <xdr:row>160</xdr:row>
      <xdr:rowOff>137160</xdr:rowOff>
    </xdr:to>
    <xdr:pic>
      <xdr:nvPicPr>
        <xdr:cNvPr id="7" name="Picture 18">
          <a:extLst>
            <a:ext uri="{FF2B5EF4-FFF2-40B4-BE49-F238E27FC236}">
              <a16:creationId xmlns:a16="http://schemas.microsoft.com/office/drawing/2014/main" id="{873B1E40-66E1-FC91-B6AE-1CB16167181B}"/>
            </a:ext>
          </a:extLst>
        </xdr:cNvPr>
        <xdr:cNvPicPr>
          <a:picLocks noChangeAspect="1"/>
        </xdr:cNvPicPr>
      </xdr:nvPicPr>
      <xdr:blipFill>
        <a:blip xmlns:r="http://schemas.openxmlformats.org/officeDocument/2006/relationships" r:embed="rId3"/>
        <a:stretch>
          <a:fillRect/>
        </a:stretch>
      </xdr:blipFill>
      <xdr:spPr>
        <a:xfrm>
          <a:off x="4620613" y="22132540"/>
          <a:ext cx="2953448" cy="1725680"/>
        </a:xfrm>
        <a:prstGeom prst="rect">
          <a:avLst/>
        </a:prstGeom>
        <a:ln w="12700">
          <a:solidFill>
            <a:schemeClr val="tx1"/>
          </a:solidFill>
        </a:ln>
      </xdr:spPr>
    </xdr:pic>
    <xdr:clientData/>
  </xdr:twoCellAnchor>
  <xdr:twoCellAnchor editAs="oneCell">
    <xdr:from>
      <xdr:col>4</xdr:col>
      <xdr:colOff>76824</xdr:colOff>
      <xdr:row>230</xdr:row>
      <xdr:rowOff>45611</xdr:rowOff>
    </xdr:from>
    <xdr:to>
      <xdr:col>10</xdr:col>
      <xdr:colOff>169823</xdr:colOff>
      <xdr:row>237</xdr:row>
      <xdr:rowOff>113448</xdr:rowOff>
    </xdr:to>
    <xdr:pic>
      <xdr:nvPicPr>
        <xdr:cNvPr id="26" name="Picture 14">
          <a:extLst>
            <a:ext uri="{FF2B5EF4-FFF2-40B4-BE49-F238E27FC236}">
              <a16:creationId xmlns:a16="http://schemas.microsoft.com/office/drawing/2014/main" id="{FA5404D3-2C39-377A-D74C-A2EA6BABF71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4633584" y="43845371"/>
          <a:ext cx="8642639" cy="1347997"/>
        </a:xfrm>
        <a:prstGeom prst="rect">
          <a:avLst/>
        </a:prstGeom>
        <a:ln w="19050">
          <a:solidFill>
            <a:schemeClr val="tx1"/>
          </a:solidFill>
        </a:ln>
      </xdr:spPr>
    </xdr:pic>
    <xdr:clientData/>
  </xdr:twoCellAnchor>
  <xdr:twoCellAnchor editAs="oneCell">
    <xdr:from>
      <xdr:col>7</xdr:col>
      <xdr:colOff>411352</xdr:colOff>
      <xdr:row>169</xdr:row>
      <xdr:rowOff>173082</xdr:rowOff>
    </xdr:from>
    <xdr:to>
      <xdr:col>10</xdr:col>
      <xdr:colOff>1240594</xdr:colOff>
      <xdr:row>186</xdr:row>
      <xdr:rowOff>144780</xdr:rowOff>
    </xdr:to>
    <xdr:pic>
      <xdr:nvPicPr>
        <xdr:cNvPr id="27" name="Picture 15">
          <a:extLst>
            <a:ext uri="{FF2B5EF4-FFF2-40B4-BE49-F238E27FC236}">
              <a16:creationId xmlns:a16="http://schemas.microsoft.com/office/drawing/2014/main" id="{1ABAB638-A1F3-58E8-B2DF-41DF170CB071}"/>
            </a:ext>
          </a:extLst>
        </xdr:cNvPr>
        <xdr:cNvPicPr>
          <a:picLocks noChangeAspect="1"/>
        </xdr:cNvPicPr>
      </xdr:nvPicPr>
      <xdr:blipFill rotWithShape="1">
        <a:blip xmlns:r="http://schemas.openxmlformats.org/officeDocument/2006/relationships" r:embed="rId5"/>
        <a:srcRect t="1675"/>
        <a:stretch>
          <a:fillRect/>
        </a:stretch>
      </xdr:blipFill>
      <xdr:spPr>
        <a:xfrm>
          <a:off x="9242932" y="32870502"/>
          <a:ext cx="5104062" cy="3080658"/>
        </a:xfrm>
        <a:prstGeom prst="rect">
          <a:avLst/>
        </a:prstGeom>
        <a:ln w="19050">
          <a:solidFill>
            <a:schemeClr val="tx1"/>
          </a:solidFill>
        </a:ln>
      </xdr:spPr>
    </xdr:pic>
    <xdr:clientData/>
  </xdr:twoCellAnchor>
  <xdr:twoCellAnchor editAs="oneCell">
    <xdr:from>
      <xdr:col>3</xdr:col>
      <xdr:colOff>392674</xdr:colOff>
      <xdr:row>107</xdr:row>
      <xdr:rowOff>147376</xdr:rowOff>
    </xdr:from>
    <xdr:to>
      <xdr:col>6</xdr:col>
      <xdr:colOff>956310</xdr:colOff>
      <xdr:row>145</xdr:row>
      <xdr:rowOff>145643</xdr:rowOff>
    </xdr:to>
    <xdr:pic>
      <xdr:nvPicPr>
        <xdr:cNvPr id="9" name="Picture 21">
          <a:extLst>
            <a:ext uri="{FF2B5EF4-FFF2-40B4-BE49-F238E27FC236}">
              <a16:creationId xmlns:a16="http://schemas.microsoft.com/office/drawing/2014/main" id="{3626D19B-9A3C-906C-086C-823C2EA7AF1E}"/>
            </a:ext>
          </a:extLst>
        </xdr:cNvPr>
        <xdr:cNvPicPr>
          <a:picLocks noChangeAspect="1"/>
        </xdr:cNvPicPr>
      </xdr:nvPicPr>
      <xdr:blipFill>
        <a:blip xmlns:r="http://schemas.openxmlformats.org/officeDocument/2006/relationships" r:embed="rId6"/>
        <a:stretch>
          <a:fillRect/>
        </a:stretch>
      </xdr:blipFill>
      <xdr:spPr>
        <a:xfrm>
          <a:off x="3516874" y="21788176"/>
          <a:ext cx="4838456" cy="6947708"/>
        </a:xfrm>
        <a:prstGeom prst="rect">
          <a:avLst/>
        </a:prstGeom>
        <a:ln w="19050">
          <a:solidFill>
            <a:schemeClr val="tx1"/>
          </a:solidFill>
        </a:ln>
      </xdr:spPr>
    </xdr:pic>
    <xdr:clientData/>
  </xdr:twoCellAnchor>
  <xdr:twoCellAnchor editAs="oneCell">
    <xdr:from>
      <xdr:col>4</xdr:col>
      <xdr:colOff>106680</xdr:colOff>
      <xdr:row>246</xdr:row>
      <xdr:rowOff>160020</xdr:rowOff>
    </xdr:from>
    <xdr:to>
      <xdr:col>7</xdr:col>
      <xdr:colOff>762427</xdr:colOff>
      <xdr:row>293</xdr:row>
      <xdr:rowOff>115040</xdr:rowOff>
    </xdr:to>
    <xdr:pic>
      <xdr:nvPicPr>
        <xdr:cNvPr id="23" name="Picture 22">
          <a:extLst>
            <a:ext uri="{FF2B5EF4-FFF2-40B4-BE49-F238E27FC236}">
              <a16:creationId xmlns:a16="http://schemas.microsoft.com/office/drawing/2014/main" id="{8B63569B-490F-7E12-5479-6F1C5536353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271260" y="31950660"/>
          <a:ext cx="4930567" cy="8550381"/>
        </a:xfrm>
        <a:prstGeom prst="rect">
          <a:avLst/>
        </a:prstGeom>
        <a:ln w="12700">
          <a:solidFill>
            <a:schemeClr val="tx1"/>
          </a:solid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2.arb.ca.gov/resources/documents/non-road-diesel-engine-certification-tier-chart" TargetMode="External"/><Relationship Id="rId7" Type="http://schemas.openxmlformats.org/officeDocument/2006/relationships/printerSettings" Target="../printerSettings/printerSettings1.bin"/><Relationship Id="rId2" Type="http://schemas.openxmlformats.org/officeDocument/2006/relationships/hyperlink" Target="https://ww2.arb.ca.gov/sites/default/files/classic/msei/ordiesel/ordas_ef_fcf_2017.pdf" TargetMode="External"/><Relationship Id="rId1" Type="http://schemas.openxmlformats.org/officeDocument/2006/relationships/hyperlink" Target="https://ww2.arb.ca.gov/resources/documents/low-emission-diesel-led-study-biodiesel-and-renewable-diesel-emissions-legacy" TargetMode="External"/><Relationship Id="rId6" Type="http://schemas.openxmlformats.org/officeDocument/2006/relationships/hyperlink" Target="https://www.epa.gov/sites/default/files/2018-02/nonroad-compression-ignition-archive1996-2011.xlsx" TargetMode="External"/><Relationship Id="rId5" Type="http://schemas.openxmlformats.org/officeDocument/2006/relationships/hyperlink" Target="https://www.epa.gov/sites/default/files/2018-02/nonroad-compression-ignition-archive1996-2011.xlsx" TargetMode="External"/><Relationship Id="rId10" Type="http://schemas.openxmlformats.org/officeDocument/2006/relationships/comments" Target="../comments1.xml"/><Relationship Id="rId4" Type="http://schemas.openxmlformats.org/officeDocument/2006/relationships/hyperlink" Target="https://ww2.arb.ca.gov/resources/documents/non-road-diesel-engine-certification-tier-chart"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6C575-ECCA-42DD-A6F1-C0D8ED4792CC}">
  <sheetPr>
    <tabColor rgb="FF00B050"/>
    <pageSetUpPr fitToPage="1"/>
  </sheetPr>
  <dimension ref="A1:AG302"/>
  <sheetViews>
    <sheetView tabSelected="1" view="pageBreakPreview" topLeftCell="A41" zoomScale="85" zoomScaleNormal="85" zoomScaleSheetLayoutView="85" workbookViewId="0">
      <selection activeCell="C41" sqref="C41"/>
    </sheetView>
  </sheetViews>
  <sheetFormatPr defaultColWidth="8.6328125" defaultRowHeight="14.5" x14ac:dyDescent="0.35"/>
  <cols>
    <col min="1" max="1" width="10.08984375" customWidth="1"/>
    <col min="2" max="2" width="22.90625" customWidth="1"/>
    <col min="3" max="3" width="12.6328125" style="1" customWidth="1"/>
    <col min="4" max="4" width="18.81640625" customWidth="1" collapsed="1"/>
    <col min="5" max="15" width="18.81640625" customWidth="1"/>
    <col min="16" max="16" width="21.6328125" bestFit="1" customWidth="1"/>
    <col min="17" max="20" width="12.54296875" customWidth="1"/>
    <col min="21" max="21" width="13.453125" customWidth="1"/>
    <col min="22" max="22" width="21.08984375" bestFit="1" customWidth="1"/>
    <col min="23" max="29" width="12.54296875" customWidth="1"/>
  </cols>
  <sheetData>
    <row r="1" spans="1:17" x14ac:dyDescent="0.35">
      <c r="D1" s="319" t="s">
        <v>0</v>
      </c>
      <c r="E1" s="320"/>
      <c r="F1" s="320"/>
      <c r="G1" s="320"/>
      <c r="H1" s="320"/>
      <c r="I1" s="320"/>
      <c r="J1" s="320"/>
      <c r="K1" s="320"/>
      <c r="L1" s="320"/>
      <c r="M1" s="320"/>
      <c r="N1" s="320"/>
      <c r="O1" s="321"/>
    </row>
    <row r="2" spans="1:17" s="2" customFormat="1" ht="15" customHeight="1" thickBot="1" x14ac:dyDescent="0.4">
      <c r="C2" s="3" t="s">
        <v>3</v>
      </c>
      <c r="D2" s="283">
        <v>2023</v>
      </c>
      <c r="E2" s="284">
        <v>2024</v>
      </c>
      <c r="F2" s="285">
        <v>2025</v>
      </c>
      <c r="G2" s="284">
        <v>2026</v>
      </c>
      <c r="H2" s="285">
        <v>2027</v>
      </c>
      <c r="I2" s="284">
        <v>2028</v>
      </c>
      <c r="J2" s="285">
        <v>2029</v>
      </c>
      <c r="K2" s="284">
        <v>2030</v>
      </c>
      <c r="L2" s="285">
        <v>2031</v>
      </c>
      <c r="M2" s="284">
        <v>2032</v>
      </c>
      <c r="N2" s="285">
        <v>2033</v>
      </c>
      <c r="O2" s="282">
        <v>2034</v>
      </c>
    </row>
    <row r="3" spans="1:17" ht="48.65" customHeight="1" thickBot="1" x14ac:dyDescent="0.4">
      <c r="A3" s="2"/>
      <c r="B3" s="2"/>
      <c r="C3" s="3" t="s">
        <v>61</v>
      </c>
      <c r="D3" s="279" t="s">
        <v>60</v>
      </c>
      <c r="E3" s="280" t="s">
        <v>62</v>
      </c>
      <c r="F3" s="281" t="str">
        <f>E3</f>
        <v>Drydock: Tier 4 Marine w/VDECS
Crane: Tier 2</v>
      </c>
      <c r="G3" s="280" t="str">
        <f>F3</f>
        <v>Drydock: Tier 4 Marine w/VDECS
Crane: Tier 2</v>
      </c>
      <c r="H3" s="281" t="str">
        <f>G3</f>
        <v>Drydock: Tier 4 Marine w/VDECS
Crane: Tier 2</v>
      </c>
      <c r="I3" s="280" t="str">
        <f>H3</f>
        <v>Drydock: Tier 4 Marine w/VDECS
Crane: Tier 2</v>
      </c>
      <c r="J3" s="281" t="s">
        <v>63</v>
      </c>
      <c r="K3" s="280" t="str">
        <f>J3</f>
        <v>Drydock: Tier 4 Marine w/VDECS
Crane: Tier 4F</v>
      </c>
      <c r="L3" s="281" t="str">
        <f t="shared" ref="L3:O3" si="0">K3</f>
        <v>Drydock: Tier 4 Marine w/VDECS
Crane: Tier 4F</v>
      </c>
      <c r="M3" s="280" t="str">
        <f t="shared" si="0"/>
        <v>Drydock: Tier 4 Marine w/VDECS
Crane: Tier 4F</v>
      </c>
      <c r="N3" s="281" t="str">
        <f t="shared" si="0"/>
        <v>Drydock: Tier 4 Marine w/VDECS
Crane: Tier 4F</v>
      </c>
      <c r="O3" s="69" t="str">
        <f t="shared" si="0"/>
        <v>Drydock: Tier 4 Marine w/VDECS
Crane: Tier 4F</v>
      </c>
    </row>
    <row r="4" spans="1:17" ht="15" thickTop="1" x14ac:dyDescent="0.35">
      <c r="A4" s="2"/>
      <c r="B4" s="2"/>
      <c r="C4" s="3"/>
      <c r="D4" s="304" t="s">
        <v>52</v>
      </c>
      <c r="E4" s="305"/>
      <c r="F4" s="305"/>
      <c r="G4" s="305"/>
      <c r="H4" s="305"/>
      <c r="I4" s="305"/>
      <c r="J4" s="305"/>
      <c r="K4" s="305"/>
      <c r="L4" s="305"/>
      <c r="M4" s="305"/>
      <c r="N4" s="305"/>
      <c r="O4" s="306"/>
    </row>
    <row r="5" spans="1:17" x14ac:dyDescent="0.35">
      <c r="A5" s="2"/>
      <c r="B5" s="2"/>
      <c r="C5" s="3" t="s">
        <v>1</v>
      </c>
      <c r="D5" s="5">
        <v>1200</v>
      </c>
      <c r="E5" s="70">
        <v>1200</v>
      </c>
      <c r="F5" s="71">
        <v>1200</v>
      </c>
      <c r="G5" s="70">
        <v>1200</v>
      </c>
      <c r="H5" s="71">
        <v>1200</v>
      </c>
      <c r="I5" s="70">
        <v>1200</v>
      </c>
      <c r="J5" s="71">
        <v>1200</v>
      </c>
      <c r="K5" s="70">
        <v>1200</v>
      </c>
      <c r="L5" s="71">
        <v>1200</v>
      </c>
      <c r="M5" s="70">
        <v>1200</v>
      </c>
      <c r="N5" s="71">
        <v>1200</v>
      </c>
      <c r="O5" s="72">
        <v>1200</v>
      </c>
    </row>
    <row r="6" spans="1:17" x14ac:dyDescent="0.35">
      <c r="A6" s="2"/>
      <c r="B6" s="2"/>
      <c r="C6" s="3" t="s">
        <v>65</v>
      </c>
      <c r="D6" s="5">
        <v>3687.26</v>
      </c>
      <c r="E6" s="73">
        <v>0</v>
      </c>
      <c r="F6" s="75">
        <f t="shared" ref="F6:H7" si="1">E6+E16</f>
        <v>39.619999999999891</v>
      </c>
      <c r="G6" s="74">
        <f t="shared" si="1"/>
        <v>79.619999999999891</v>
      </c>
      <c r="H6" s="75">
        <f t="shared" si="1"/>
        <v>119.61999999999989</v>
      </c>
      <c r="I6" s="70">
        <f t="shared" ref="I6:O6" si="2">H6+H16</f>
        <v>159.61999999999989</v>
      </c>
      <c r="J6" s="71">
        <f t="shared" si="2"/>
        <v>199.61999999999989</v>
      </c>
      <c r="K6" s="70">
        <f t="shared" si="2"/>
        <v>239.61999999999989</v>
      </c>
      <c r="L6" s="71">
        <f t="shared" si="2"/>
        <v>279.61999999999989</v>
      </c>
      <c r="M6" s="70">
        <f t="shared" si="2"/>
        <v>319.61999999999989</v>
      </c>
      <c r="N6" s="71">
        <f t="shared" si="2"/>
        <v>359.61999999999989</v>
      </c>
      <c r="O6" s="72">
        <f t="shared" si="2"/>
        <v>399.61999999999989</v>
      </c>
    </row>
    <row r="7" spans="1:17" x14ac:dyDescent="0.35">
      <c r="A7" s="2"/>
      <c r="B7" s="2"/>
      <c r="C7" s="3" t="s">
        <v>66</v>
      </c>
      <c r="D7" s="5">
        <v>3687.78</v>
      </c>
      <c r="E7" s="73">
        <v>0</v>
      </c>
      <c r="F7" s="75">
        <f t="shared" si="1"/>
        <v>39.2800000000002</v>
      </c>
      <c r="G7" s="74">
        <f t="shared" si="1"/>
        <v>79.2800000000002</v>
      </c>
      <c r="H7" s="75">
        <f t="shared" si="1"/>
        <v>119.2800000000002</v>
      </c>
      <c r="I7" s="70">
        <f t="shared" ref="I7:O7" si="3">H7+H17</f>
        <v>159.2800000000002</v>
      </c>
      <c r="J7" s="71">
        <f t="shared" si="3"/>
        <v>199.2800000000002</v>
      </c>
      <c r="K7" s="70">
        <f t="shared" si="3"/>
        <v>239.2800000000002</v>
      </c>
      <c r="L7" s="71">
        <f t="shared" si="3"/>
        <v>279.2800000000002</v>
      </c>
      <c r="M7" s="70">
        <f t="shared" si="3"/>
        <v>319.2800000000002</v>
      </c>
      <c r="N7" s="71">
        <f t="shared" si="3"/>
        <v>359.2800000000002</v>
      </c>
      <c r="O7" s="72">
        <f t="shared" si="3"/>
        <v>399.2800000000002</v>
      </c>
    </row>
    <row r="8" spans="1:17" ht="16.5" x14ac:dyDescent="0.45">
      <c r="A8" s="2"/>
      <c r="B8" s="2"/>
      <c r="C8" s="107" t="s">
        <v>69</v>
      </c>
      <c r="D8" s="62">
        <f>$E$100</f>
        <v>10.3675</v>
      </c>
      <c r="E8" s="73">
        <f t="shared" ref="E8:O8" si="4">$G$100</f>
        <v>1.04</v>
      </c>
      <c r="F8" s="71">
        <f t="shared" si="4"/>
        <v>1.04</v>
      </c>
      <c r="G8" s="70">
        <f t="shared" si="4"/>
        <v>1.04</v>
      </c>
      <c r="H8" s="71">
        <f t="shared" si="4"/>
        <v>1.04</v>
      </c>
      <c r="I8" s="70">
        <f t="shared" si="4"/>
        <v>1.04</v>
      </c>
      <c r="J8" s="71">
        <f t="shared" si="4"/>
        <v>1.04</v>
      </c>
      <c r="K8" s="70">
        <f t="shared" si="4"/>
        <v>1.04</v>
      </c>
      <c r="L8" s="71">
        <f t="shared" si="4"/>
        <v>1.04</v>
      </c>
      <c r="M8" s="70">
        <f t="shared" si="4"/>
        <v>1.04</v>
      </c>
      <c r="N8" s="71">
        <f t="shared" si="4"/>
        <v>1.04</v>
      </c>
      <c r="O8" s="72">
        <f t="shared" si="4"/>
        <v>1.04</v>
      </c>
    </row>
    <row r="9" spans="1:17" ht="16.5" x14ac:dyDescent="0.35">
      <c r="A9" s="2"/>
      <c r="B9" s="2"/>
      <c r="C9" s="107" t="s">
        <v>90</v>
      </c>
      <c r="D9" s="76">
        <f t="shared" ref="D9:O9" si="5">D$8*$F$164/Useful_Life</f>
        <v>1.7244950495049502E-4</v>
      </c>
      <c r="E9" s="94">
        <f t="shared" si="5"/>
        <v>1.7299009900990101E-5</v>
      </c>
      <c r="F9" s="81">
        <f t="shared" si="5"/>
        <v>1.7299009900990101E-5</v>
      </c>
      <c r="G9" s="94">
        <f t="shared" si="5"/>
        <v>1.7299009900990101E-5</v>
      </c>
      <c r="H9" s="81">
        <f t="shared" si="5"/>
        <v>1.7299009900990101E-5</v>
      </c>
      <c r="I9" s="94">
        <f t="shared" si="5"/>
        <v>1.7299009900990101E-5</v>
      </c>
      <c r="J9" s="81">
        <f t="shared" si="5"/>
        <v>1.7299009900990101E-5</v>
      </c>
      <c r="K9" s="94">
        <f t="shared" si="5"/>
        <v>1.7299009900990101E-5</v>
      </c>
      <c r="L9" s="81">
        <f t="shared" si="5"/>
        <v>1.7299009900990101E-5</v>
      </c>
      <c r="M9" s="94">
        <f t="shared" si="5"/>
        <v>1.7299009900990101E-5</v>
      </c>
      <c r="N9" s="81">
        <f t="shared" si="5"/>
        <v>1.7299009900990101E-5</v>
      </c>
      <c r="O9" s="87">
        <f t="shared" si="5"/>
        <v>1.7299009900990101E-5</v>
      </c>
    </row>
    <row r="10" spans="1:17" ht="16.5" x14ac:dyDescent="0.45">
      <c r="A10" s="2"/>
      <c r="B10" s="2"/>
      <c r="C10" s="107" t="s">
        <v>70</v>
      </c>
      <c r="D10" s="104">
        <f t="shared" ref="D10:O10" si="6">IF(D6&gt;Useful_Life,CONVERT((D$8+D9*Useful_Life)*D$5,"g","lbm"),CONVERT((D$8+D9*D6)*D$5,"g","lbm"))</f>
        <v>29.109923947681292</v>
      </c>
      <c r="E10" s="95">
        <f t="shared" si="6"/>
        <v>2.7513690320672719</v>
      </c>
      <c r="F10" s="82">
        <f t="shared" si="6"/>
        <v>2.7531822550867262</v>
      </c>
      <c r="G10" s="95">
        <f t="shared" si="6"/>
        <v>2.7550128689377646</v>
      </c>
      <c r="H10" s="82">
        <f t="shared" si="6"/>
        <v>2.756843482788804</v>
      </c>
      <c r="I10" s="95">
        <f t="shared" si="6"/>
        <v>2.7586740966398429</v>
      </c>
      <c r="J10" s="82">
        <f t="shared" si="6"/>
        <v>2.7605047104908813</v>
      </c>
      <c r="K10" s="95">
        <f t="shared" si="6"/>
        <v>2.7623353243419202</v>
      </c>
      <c r="L10" s="82">
        <f t="shared" si="6"/>
        <v>2.7641659381929591</v>
      </c>
      <c r="M10" s="95">
        <f t="shared" si="6"/>
        <v>2.765996552043998</v>
      </c>
      <c r="N10" s="82">
        <f t="shared" si="6"/>
        <v>2.7678271658950364</v>
      </c>
      <c r="O10" s="88">
        <f t="shared" si="6"/>
        <v>2.7696577797460753</v>
      </c>
    </row>
    <row r="11" spans="1:17" ht="16.5" x14ac:dyDescent="0.45">
      <c r="A11" s="2"/>
      <c r="B11" s="2"/>
      <c r="C11" s="107" t="s">
        <v>71</v>
      </c>
      <c r="D11" s="104">
        <f t="shared" ref="D11:O11" si="7">IF(D7&gt;Useful_Life,CONVERT((D8+D9*Useful_Life)*D5,"g","lbm"),CONVERT((D8+D9*D7)*D5,"g","lbm"))</f>
        <v>29.110161183795054</v>
      </c>
      <c r="E11" s="96">
        <f t="shared" si="7"/>
        <v>2.7513690320672719</v>
      </c>
      <c r="F11" s="83">
        <f t="shared" si="7"/>
        <v>2.7531666948689919</v>
      </c>
      <c r="G11" s="96">
        <f t="shared" si="7"/>
        <v>2.7549973087200312</v>
      </c>
      <c r="H11" s="83">
        <f t="shared" si="7"/>
        <v>2.7568279225710701</v>
      </c>
      <c r="I11" s="96">
        <f t="shared" si="7"/>
        <v>2.758658536422109</v>
      </c>
      <c r="J11" s="83">
        <f t="shared" si="7"/>
        <v>2.7604891502731479</v>
      </c>
      <c r="K11" s="96">
        <f t="shared" si="7"/>
        <v>2.7623197641241863</v>
      </c>
      <c r="L11" s="83">
        <f t="shared" si="7"/>
        <v>2.7641503779752252</v>
      </c>
      <c r="M11" s="96">
        <f t="shared" si="7"/>
        <v>2.7659809918262641</v>
      </c>
      <c r="N11" s="83">
        <f t="shared" si="7"/>
        <v>2.7678116056773026</v>
      </c>
      <c r="O11" s="89">
        <f t="shared" si="7"/>
        <v>2.7696422195283414</v>
      </c>
    </row>
    <row r="12" spans="1:17" x14ac:dyDescent="0.35">
      <c r="A12" s="2"/>
      <c r="B12" s="2"/>
      <c r="C12" s="105" t="s">
        <v>49</v>
      </c>
      <c r="D12" s="77">
        <f>$E$101</f>
        <v>0.42463600000000001</v>
      </c>
      <c r="E12" s="97">
        <f t="shared" ref="E12:O12" si="8">$G$101</f>
        <v>4.5000000000000005E-3</v>
      </c>
      <c r="F12" s="84">
        <f t="shared" si="8"/>
        <v>4.5000000000000005E-3</v>
      </c>
      <c r="G12" s="97">
        <f t="shared" si="8"/>
        <v>4.5000000000000005E-3</v>
      </c>
      <c r="H12" s="84">
        <f t="shared" si="8"/>
        <v>4.5000000000000005E-3</v>
      </c>
      <c r="I12" s="97">
        <f t="shared" si="8"/>
        <v>4.5000000000000005E-3</v>
      </c>
      <c r="J12" s="84">
        <f t="shared" si="8"/>
        <v>4.5000000000000005E-3</v>
      </c>
      <c r="K12" s="97">
        <f t="shared" si="8"/>
        <v>4.5000000000000005E-3</v>
      </c>
      <c r="L12" s="84">
        <f t="shared" si="8"/>
        <v>4.5000000000000005E-3</v>
      </c>
      <c r="M12" s="97">
        <f t="shared" si="8"/>
        <v>4.5000000000000005E-3</v>
      </c>
      <c r="N12" s="84">
        <f t="shared" si="8"/>
        <v>4.5000000000000005E-3</v>
      </c>
      <c r="O12" s="90">
        <f t="shared" si="8"/>
        <v>4.5000000000000005E-3</v>
      </c>
    </row>
    <row r="13" spans="1:17" ht="16.5" x14ac:dyDescent="0.35">
      <c r="A13" s="2"/>
      <c r="B13" s="2"/>
      <c r="C13" s="105" t="s">
        <v>91</v>
      </c>
      <c r="D13" s="78">
        <f t="shared" ref="D13:O13" si="9">D$12*$F$165/Useful_Life</f>
        <v>2.2535138217821784E-5</v>
      </c>
      <c r="E13" s="101">
        <f t="shared" si="9"/>
        <v>2.3881188118811882E-7</v>
      </c>
      <c r="F13" s="85">
        <f t="shared" si="9"/>
        <v>2.3881188118811882E-7</v>
      </c>
      <c r="G13" s="98">
        <f t="shared" si="9"/>
        <v>2.3881188118811882E-7</v>
      </c>
      <c r="H13" s="85">
        <f t="shared" si="9"/>
        <v>2.3881188118811882E-7</v>
      </c>
      <c r="I13" s="98">
        <f t="shared" si="9"/>
        <v>2.3881188118811882E-7</v>
      </c>
      <c r="J13" s="85">
        <f t="shared" si="9"/>
        <v>2.3881188118811882E-7</v>
      </c>
      <c r="K13" s="98">
        <f t="shared" si="9"/>
        <v>2.3881188118811882E-7</v>
      </c>
      <c r="L13" s="85">
        <f t="shared" si="9"/>
        <v>2.3881188118811882E-7</v>
      </c>
      <c r="M13" s="98">
        <f t="shared" si="9"/>
        <v>2.3881188118811882E-7</v>
      </c>
      <c r="N13" s="85">
        <f t="shared" si="9"/>
        <v>2.3881188118811882E-7</v>
      </c>
      <c r="O13" s="91">
        <f t="shared" si="9"/>
        <v>2.3881188118811882E-7</v>
      </c>
    </row>
    <row r="14" spans="1:17" x14ac:dyDescent="0.35">
      <c r="A14" s="2"/>
      <c r="B14" s="2"/>
      <c r="C14" s="105" t="s">
        <v>50</v>
      </c>
      <c r="D14" s="62">
        <f t="shared" ref="D14:O14" si="10">IF(D6&gt;Useful_Life,CONVERT((D$12+D13*Useful_Life)*D$5,"g","lbm"),CONVERT((D$12+D13*D6)*D$5,"g","lbm"))</f>
        <v>1.3432207788108401</v>
      </c>
      <c r="E14" s="97">
        <f t="shared" si="10"/>
        <v>1.190496215798339E-2</v>
      </c>
      <c r="F14" s="84">
        <f t="shared" si="10"/>
        <v>1.1929993602139312E-2</v>
      </c>
      <c r="G14" s="97">
        <f t="shared" si="10"/>
        <v>1.1955265125769726E-2</v>
      </c>
      <c r="H14" s="84">
        <f t="shared" si="10"/>
        <v>1.1980536649400138E-2</v>
      </c>
      <c r="I14" s="97">
        <f t="shared" si="10"/>
        <v>1.200580817303055E-2</v>
      </c>
      <c r="J14" s="84">
        <f t="shared" si="10"/>
        <v>1.2031079696660963E-2</v>
      </c>
      <c r="K14" s="97">
        <f t="shared" si="10"/>
        <v>1.2056351220291374E-2</v>
      </c>
      <c r="L14" s="84">
        <f t="shared" si="10"/>
        <v>1.2081622743921787E-2</v>
      </c>
      <c r="M14" s="97">
        <f t="shared" si="10"/>
        <v>1.2106894267552201E-2</v>
      </c>
      <c r="N14" s="84">
        <f t="shared" si="10"/>
        <v>1.2132165791182611E-2</v>
      </c>
      <c r="O14" s="90">
        <f t="shared" si="10"/>
        <v>1.2157437314813025E-2</v>
      </c>
      <c r="Q14" s="179"/>
    </row>
    <row r="15" spans="1:17" x14ac:dyDescent="0.35">
      <c r="A15" s="2"/>
      <c r="B15" s="2"/>
      <c r="C15" s="105" t="s">
        <v>51</v>
      </c>
      <c r="D15" s="62">
        <f t="shared" ref="D15:O15" si="11">IF(D7&gt;Useful_Life,CONVERT((D$12+D13*Useful_Life)*D$5,"g","lbm"),CONVERT((D$12+D13*D7)*D$5,"g","lbm"))</f>
        <v>1.3432517800515529</v>
      </c>
      <c r="E15" s="97">
        <f t="shared" si="11"/>
        <v>1.190496215798339E-2</v>
      </c>
      <c r="F15" s="84">
        <f t="shared" si="11"/>
        <v>1.1929778794188453E-2</v>
      </c>
      <c r="G15" s="97">
        <f t="shared" si="11"/>
        <v>1.1955050317818867E-2</v>
      </c>
      <c r="H15" s="84">
        <f t="shared" si="11"/>
        <v>1.198032184144928E-2</v>
      </c>
      <c r="I15" s="97">
        <f t="shared" si="11"/>
        <v>1.2005593365079692E-2</v>
      </c>
      <c r="J15" s="84">
        <f t="shared" si="11"/>
        <v>1.2030864888710104E-2</v>
      </c>
      <c r="K15" s="97">
        <f t="shared" si="11"/>
        <v>1.2056136412340518E-2</v>
      </c>
      <c r="L15" s="84">
        <f t="shared" si="11"/>
        <v>1.208140793597093E-2</v>
      </c>
      <c r="M15" s="97">
        <f t="shared" si="11"/>
        <v>1.2106679459601342E-2</v>
      </c>
      <c r="N15" s="84">
        <f t="shared" si="11"/>
        <v>1.2131950983231752E-2</v>
      </c>
      <c r="O15" s="90">
        <f t="shared" si="11"/>
        <v>1.2157222506862166E-2</v>
      </c>
      <c r="Q15" s="179"/>
    </row>
    <row r="16" spans="1:17" ht="15" customHeight="1" x14ac:dyDescent="0.35">
      <c r="A16" s="3"/>
      <c r="C16" s="6" t="s">
        <v>67</v>
      </c>
      <c r="D16" s="79">
        <f>D62</f>
        <v>21.769999999999982</v>
      </c>
      <c r="E16" s="102">
        <f>E62</f>
        <v>39.619999999999891</v>
      </c>
      <c r="F16" s="56">
        <v>40</v>
      </c>
      <c r="G16" s="99">
        <v>40</v>
      </c>
      <c r="H16" s="56">
        <v>40</v>
      </c>
      <c r="I16" s="99">
        <v>40</v>
      </c>
      <c r="J16" s="56">
        <v>40</v>
      </c>
      <c r="K16" s="99">
        <v>40</v>
      </c>
      <c r="L16" s="56">
        <v>40</v>
      </c>
      <c r="M16" s="99">
        <v>40</v>
      </c>
      <c r="N16" s="56">
        <v>40</v>
      </c>
      <c r="O16" s="92">
        <v>40</v>
      </c>
      <c r="Q16" s="180"/>
    </row>
    <row r="17" spans="1:15" ht="15" customHeight="1" thickBot="1" x14ac:dyDescent="0.4">
      <c r="A17" s="2"/>
      <c r="B17" s="2"/>
      <c r="C17" s="6" t="s">
        <v>68</v>
      </c>
      <c r="D17" s="80">
        <f>D63</f>
        <v>16.109999999999673</v>
      </c>
      <c r="E17" s="103">
        <f>E63</f>
        <v>39.2800000000002</v>
      </c>
      <c r="F17" s="86">
        <v>40</v>
      </c>
      <c r="G17" s="100">
        <v>40</v>
      </c>
      <c r="H17" s="86">
        <v>40</v>
      </c>
      <c r="I17" s="100">
        <v>40</v>
      </c>
      <c r="J17" s="86">
        <v>40</v>
      </c>
      <c r="K17" s="100">
        <v>40</v>
      </c>
      <c r="L17" s="86">
        <v>40</v>
      </c>
      <c r="M17" s="100">
        <v>40</v>
      </c>
      <c r="N17" s="86">
        <v>40</v>
      </c>
      <c r="O17" s="93">
        <v>40</v>
      </c>
    </row>
    <row r="18" spans="1:15" ht="15" customHeight="1" thickTop="1" x14ac:dyDescent="0.35">
      <c r="A18" s="2"/>
      <c r="B18" s="2"/>
      <c r="C18" s="6"/>
      <c r="D18" s="307" t="s">
        <v>53</v>
      </c>
      <c r="E18" s="308"/>
      <c r="F18" s="308"/>
      <c r="G18" s="308"/>
      <c r="H18" s="308"/>
      <c r="I18" s="308"/>
      <c r="J18" s="308"/>
      <c r="K18" s="308"/>
      <c r="L18" s="308"/>
      <c r="M18" s="308"/>
      <c r="N18" s="308"/>
      <c r="O18" s="309"/>
    </row>
    <row r="19" spans="1:15" ht="15" customHeight="1" x14ac:dyDescent="0.35">
      <c r="A19" s="2"/>
      <c r="B19" s="2"/>
      <c r="C19" s="6" t="s">
        <v>1</v>
      </c>
      <c r="D19" s="5">
        <v>316</v>
      </c>
      <c r="E19" s="70">
        <v>316</v>
      </c>
      <c r="F19" s="71">
        <v>316</v>
      </c>
      <c r="G19" s="70">
        <v>316</v>
      </c>
      <c r="H19" s="71">
        <v>316</v>
      </c>
      <c r="I19" s="70">
        <v>316</v>
      </c>
      <c r="J19" s="71">
        <v>316</v>
      </c>
      <c r="K19" s="70">
        <v>316</v>
      </c>
      <c r="L19" s="71">
        <v>316</v>
      </c>
      <c r="M19" s="70">
        <v>316</v>
      </c>
      <c r="N19" s="71">
        <v>316</v>
      </c>
      <c r="O19" s="72">
        <v>316</v>
      </c>
    </row>
    <row r="20" spans="1:15" ht="15" customHeight="1" x14ac:dyDescent="0.35">
      <c r="A20" s="2"/>
      <c r="B20" s="67"/>
      <c r="C20" s="6" t="s">
        <v>54</v>
      </c>
      <c r="D20" s="110">
        <v>31502.400000000001</v>
      </c>
      <c r="E20" s="99">
        <v>32568</v>
      </c>
      <c r="F20" s="116">
        <f>E20+E27</f>
        <v>33674.400000000001</v>
      </c>
      <c r="G20" s="99">
        <f>F20+F27</f>
        <v>35274.400000000001</v>
      </c>
      <c r="H20" s="56">
        <f t="shared" ref="H20:O20" si="12">G20+G27</f>
        <v>36874.400000000001</v>
      </c>
      <c r="I20" s="99">
        <f t="shared" si="12"/>
        <v>38474.400000000001</v>
      </c>
      <c r="J20" s="56">
        <v>0</v>
      </c>
      <c r="K20" s="99">
        <f t="shared" si="12"/>
        <v>1600</v>
      </c>
      <c r="L20" s="56">
        <f t="shared" si="12"/>
        <v>3200</v>
      </c>
      <c r="M20" s="99">
        <f t="shared" si="12"/>
        <v>4800</v>
      </c>
      <c r="N20" s="56">
        <f t="shared" si="12"/>
        <v>6400</v>
      </c>
      <c r="O20" s="92">
        <f t="shared" si="12"/>
        <v>8000</v>
      </c>
    </row>
    <row r="21" spans="1:15" ht="15" customHeight="1" x14ac:dyDescent="0.45">
      <c r="A21" s="2"/>
      <c r="B21" s="109"/>
      <c r="C21" s="108" t="s">
        <v>69</v>
      </c>
      <c r="D21" s="111">
        <f t="shared" ref="D21:I21" si="13">$G$229</f>
        <v>4.4000000000000004</v>
      </c>
      <c r="E21" s="123">
        <f t="shared" si="13"/>
        <v>4.4000000000000004</v>
      </c>
      <c r="F21" s="117">
        <f t="shared" si="13"/>
        <v>4.4000000000000004</v>
      </c>
      <c r="G21" s="123">
        <f t="shared" si="13"/>
        <v>4.4000000000000004</v>
      </c>
      <c r="H21" s="117">
        <f t="shared" si="13"/>
        <v>4.4000000000000004</v>
      </c>
      <c r="I21" s="123">
        <f t="shared" si="13"/>
        <v>4.4000000000000004</v>
      </c>
      <c r="J21" s="117">
        <f t="shared" ref="J21:O21" si="14">$G$241</f>
        <v>0.29828000000000005</v>
      </c>
      <c r="K21" s="123">
        <f t="shared" si="14"/>
        <v>0.29828000000000005</v>
      </c>
      <c r="L21" s="117">
        <f t="shared" si="14"/>
        <v>0.29828000000000005</v>
      </c>
      <c r="M21" s="123">
        <f t="shared" si="14"/>
        <v>0.29828000000000005</v>
      </c>
      <c r="N21" s="117">
        <f t="shared" si="14"/>
        <v>0.29828000000000005</v>
      </c>
      <c r="O21" s="130">
        <f t="shared" si="14"/>
        <v>0.29828000000000005</v>
      </c>
    </row>
    <row r="22" spans="1:15" ht="15" customHeight="1" x14ac:dyDescent="0.35">
      <c r="A22" s="2"/>
      <c r="B22" s="109"/>
      <c r="C22" s="107" t="s">
        <v>90</v>
      </c>
      <c r="D22" s="78">
        <f t="shared" ref="D22:O22" si="15">D$21*$F$164/Useful_Life</f>
        <v>7.3188118811881196E-5</v>
      </c>
      <c r="E22" s="101">
        <f t="shared" si="15"/>
        <v>7.3188118811881196E-5</v>
      </c>
      <c r="F22" s="81">
        <f t="shared" si="15"/>
        <v>7.3188118811881196E-5</v>
      </c>
      <c r="G22" s="101">
        <f t="shared" si="15"/>
        <v>7.3188118811881196E-5</v>
      </c>
      <c r="H22" s="81">
        <f t="shared" si="15"/>
        <v>7.3188118811881196E-5</v>
      </c>
      <c r="I22" s="101">
        <f t="shared" si="15"/>
        <v>7.3188118811881196E-5</v>
      </c>
      <c r="J22" s="81">
        <f t="shared" si="15"/>
        <v>4.9614891089108913E-6</v>
      </c>
      <c r="K22" s="101">
        <f t="shared" si="15"/>
        <v>4.9614891089108913E-6</v>
      </c>
      <c r="L22" s="81">
        <f t="shared" si="15"/>
        <v>4.9614891089108913E-6</v>
      </c>
      <c r="M22" s="101">
        <f t="shared" si="15"/>
        <v>4.9614891089108913E-6</v>
      </c>
      <c r="N22" s="81">
        <f t="shared" si="15"/>
        <v>4.9614891089108913E-6</v>
      </c>
      <c r="O22" s="131">
        <f t="shared" si="15"/>
        <v>4.9614891089108913E-6</v>
      </c>
    </row>
    <row r="23" spans="1:15" ht="15" customHeight="1" x14ac:dyDescent="0.45">
      <c r="A23" s="2"/>
      <c r="B23" s="109"/>
      <c r="C23" s="107" t="s">
        <v>72</v>
      </c>
      <c r="D23" s="112">
        <f t="shared" ref="D23:O23" si="16">IF(D20&gt;Useful_Life,CONVERT((D$21+D22*Useful_Life)*D$19,"g","lbm"),CONVERT((D$21+D22*D20)*D$19,"g","lbm"))</f>
        <v>3.7090218250364311</v>
      </c>
      <c r="E23" s="124">
        <f t="shared" si="16"/>
        <v>3.7090218250364311</v>
      </c>
      <c r="F23" s="118">
        <f t="shared" si="16"/>
        <v>3.7090218250364311</v>
      </c>
      <c r="G23" s="124">
        <f t="shared" si="16"/>
        <v>3.7090218250364311</v>
      </c>
      <c r="H23" s="118">
        <f t="shared" si="16"/>
        <v>3.7090218250364311</v>
      </c>
      <c r="I23" s="124">
        <f t="shared" si="16"/>
        <v>3.7090218250364311</v>
      </c>
      <c r="J23" s="118">
        <f t="shared" si="16"/>
        <v>0.20779996806383672</v>
      </c>
      <c r="K23" s="124">
        <f t="shared" si="16"/>
        <v>0.2133303276099317</v>
      </c>
      <c r="L23" s="118">
        <f t="shared" si="16"/>
        <v>0.21886068715602666</v>
      </c>
      <c r="M23" s="124">
        <f t="shared" si="16"/>
        <v>0.22439104670212168</v>
      </c>
      <c r="N23" s="118">
        <f t="shared" si="16"/>
        <v>0.22992140624821664</v>
      </c>
      <c r="O23" s="132">
        <f t="shared" si="16"/>
        <v>0.23545176579431162</v>
      </c>
    </row>
    <row r="24" spans="1:15" ht="15" customHeight="1" x14ac:dyDescent="0.35">
      <c r="A24" s="2"/>
      <c r="B24" s="109"/>
      <c r="C24" s="106" t="s">
        <v>49</v>
      </c>
      <c r="D24" s="111">
        <f t="shared" ref="D24:I24" si="17">$G$230</f>
        <v>0.12</v>
      </c>
      <c r="E24" s="123">
        <f t="shared" si="17"/>
        <v>0.12</v>
      </c>
      <c r="F24" s="117">
        <f t="shared" si="17"/>
        <v>0.12</v>
      </c>
      <c r="G24" s="123">
        <f t="shared" si="17"/>
        <v>0.12</v>
      </c>
      <c r="H24" s="117">
        <f t="shared" si="17"/>
        <v>0.12</v>
      </c>
      <c r="I24" s="123">
        <f t="shared" si="17"/>
        <v>0.12</v>
      </c>
      <c r="J24" s="120">
        <f t="shared" ref="J24:O24" si="18">$G$243</f>
        <v>1.4914E-2</v>
      </c>
      <c r="K24" s="127">
        <f t="shared" si="18"/>
        <v>1.4914E-2</v>
      </c>
      <c r="L24" s="120">
        <f t="shared" si="18"/>
        <v>1.4914E-2</v>
      </c>
      <c r="M24" s="127">
        <f t="shared" si="18"/>
        <v>1.4914E-2</v>
      </c>
      <c r="N24" s="120">
        <f t="shared" si="18"/>
        <v>1.4914E-2</v>
      </c>
      <c r="O24" s="133">
        <f t="shared" si="18"/>
        <v>1.4914E-2</v>
      </c>
    </row>
    <row r="25" spans="1:15" ht="15" customHeight="1" x14ac:dyDescent="0.35">
      <c r="A25" s="2"/>
      <c r="B25" s="109"/>
      <c r="C25" s="105" t="s">
        <v>91</v>
      </c>
      <c r="D25" s="78">
        <f t="shared" ref="D25:O25" si="19">D$24*$F$165/Useful_Life</f>
        <v>6.3683168316831679E-6</v>
      </c>
      <c r="E25" s="101">
        <f t="shared" si="19"/>
        <v>6.3683168316831679E-6</v>
      </c>
      <c r="F25" s="81">
        <f t="shared" si="19"/>
        <v>6.3683168316831679E-6</v>
      </c>
      <c r="G25" s="101">
        <f t="shared" si="19"/>
        <v>6.3683168316831679E-6</v>
      </c>
      <c r="H25" s="81">
        <f t="shared" si="19"/>
        <v>6.3683168316831679E-6</v>
      </c>
      <c r="I25" s="101">
        <f t="shared" si="19"/>
        <v>6.3683168316831679E-6</v>
      </c>
      <c r="J25" s="81">
        <f t="shared" si="19"/>
        <v>7.9147564356435647E-7</v>
      </c>
      <c r="K25" s="101">
        <f t="shared" si="19"/>
        <v>7.9147564356435647E-7</v>
      </c>
      <c r="L25" s="81">
        <f t="shared" si="19"/>
        <v>7.9147564356435647E-7</v>
      </c>
      <c r="M25" s="101">
        <f t="shared" si="19"/>
        <v>7.9147564356435647E-7</v>
      </c>
      <c r="N25" s="81">
        <f t="shared" si="19"/>
        <v>7.9147564356435647E-7</v>
      </c>
      <c r="O25" s="131">
        <f t="shared" si="19"/>
        <v>7.9147564356435647E-7</v>
      </c>
    </row>
    <row r="26" spans="1:15" ht="15" customHeight="1" x14ac:dyDescent="0.35">
      <c r="A26" s="2"/>
      <c r="B26" s="2"/>
      <c r="C26" s="105" t="s">
        <v>2</v>
      </c>
      <c r="D26" s="113">
        <f t="shared" ref="D26:O26" si="20">IF(D20&gt;Useful_Life,CONVERT((D$24+D25*Useful_Life)*D$19,"g","lbm"),CONVERT((D$24+D25*D20)*D$19,"g","lbm"))</f>
        <v>0.1396108140002443</v>
      </c>
      <c r="E26" s="125">
        <f t="shared" si="20"/>
        <v>0.1396108140002443</v>
      </c>
      <c r="F26" s="75">
        <f t="shared" si="20"/>
        <v>0.1396108140002443</v>
      </c>
      <c r="G26" s="125">
        <f t="shared" si="20"/>
        <v>0.1396108140002443</v>
      </c>
      <c r="H26" s="75">
        <f t="shared" si="20"/>
        <v>0.1396108140002443</v>
      </c>
      <c r="I26" s="125">
        <f t="shared" si="20"/>
        <v>0.1396108140002443</v>
      </c>
      <c r="J26" s="121">
        <f t="shared" si="20"/>
        <v>1.0389998403191835E-2</v>
      </c>
      <c r="K26" s="128">
        <f t="shared" si="20"/>
        <v>1.1272222426021272E-2</v>
      </c>
      <c r="L26" s="121">
        <f t="shared" si="20"/>
        <v>1.2154446448850709E-2</v>
      </c>
      <c r="M26" s="128">
        <f t="shared" si="20"/>
        <v>1.3036670471680147E-2</v>
      </c>
      <c r="N26" s="121">
        <f t="shared" si="20"/>
        <v>1.3918894494509585E-2</v>
      </c>
      <c r="O26" s="134">
        <f t="shared" si="20"/>
        <v>1.4801118517339023E-2</v>
      </c>
    </row>
    <row r="27" spans="1:15" ht="15" customHeight="1" x14ac:dyDescent="0.35">
      <c r="A27" s="2"/>
      <c r="B27" s="2"/>
      <c r="C27" s="6" t="s">
        <v>73</v>
      </c>
      <c r="D27" s="114">
        <f>E20-D20</f>
        <v>1065.5999999999985</v>
      </c>
      <c r="E27" s="68">
        <v>1106.4000000000001</v>
      </c>
      <c r="F27" s="8">
        <v>1600</v>
      </c>
      <c r="G27" s="7">
        <f t="shared" ref="G27:O28" si="21">F27</f>
        <v>1600</v>
      </c>
      <c r="H27" s="8">
        <f t="shared" si="21"/>
        <v>1600</v>
      </c>
      <c r="I27" s="7">
        <f t="shared" si="21"/>
        <v>1600</v>
      </c>
      <c r="J27" s="8">
        <f>I27</f>
        <v>1600</v>
      </c>
      <c r="K27" s="7">
        <f t="shared" si="21"/>
        <v>1600</v>
      </c>
      <c r="L27" s="8">
        <f t="shared" si="21"/>
        <v>1600</v>
      </c>
      <c r="M27" s="7">
        <f t="shared" si="21"/>
        <v>1600</v>
      </c>
      <c r="N27" s="8">
        <f t="shared" si="21"/>
        <v>1600</v>
      </c>
      <c r="O27" s="9">
        <f t="shared" si="21"/>
        <v>1600</v>
      </c>
    </row>
    <row r="28" spans="1:15" ht="15" customHeight="1" x14ac:dyDescent="0.45">
      <c r="A28" s="2"/>
      <c r="B28" s="2"/>
      <c r="C28" s="35" t="s">
        <v>26</v>
      </c>
      <c r="D28" s="115">
        <v>0.05</v>
      </c>
      <c r="E28" s="126">
        <f>D28</f>
        <v>0.05</v>
      </c>
      <c r="F28" s="119">
        <f t="shared" ref="F28:F29" si="22">E28</f>
        <v>0.05</v>
      </c>
      <c r="G28" s="126">
        <f t="shared" si="21"/>
        <v>0.05</v>
      </c>
      <c r="H28" s="119">
        <f t="shared" si="21"/>
        <v>0.05</v>
      </c>
      <c r="I28" s="126">
        <f t="shared" si="21"/>
        <v>0.05</v>
      </c>
      <c r="J28" s="122" t="s">
        <v>15</v>
      </c>
      <c r="K28" s="129" t="s">
        <v>15</v>
      </c>
      <c r="L28" s="122" t="s">
        <v>15</v>
      </c>
      <c r="M28" s="129" t="s">
        <v>15</v>
      </c>
      <c r="N28" s="122" t="s">
        <v>15</v>
      </c>
      <c r="O28" s="135" t="s">
        <v>15</v>
      </c>
    </row>
    <row r="29" spans="1:15" ht="15" customHeight="1" x14ac:dyDescent="0.35">
      <c r="A29" s="2"/>
      <c r="B29" s="2"/>
      <c r="C29" s="35" t="s">
        <v>25</v>
      </c>
      <c r="D29" s="115">
        <v>0.3</v>
      </c>
      <c r="E29" s="126">
        <f>D29</f>
        <v>0.3</v>
      </c>
      <c r="F29" s="119">
        <f t="shared" si="22"/>
        <v>0.3</v>
      </c>
      <c r="G29" s="126">
        <f t="shared" ref="G29" si="23">F29</f>
        <v>0.3</v>
      </c>
      <c r="H29" s="119">
        <f t="shared" ref="H29" si="24">G29</f>
        <v>0.3</v>
      </c>
      <c r="I29" s="126">
        <f t="shared" ref="I29" si="25">H29</f>
        <v>0.3</v>
      </c>
      <c r="J29" s="122" t="s">
        <v>15</v>
      </c>
      <c r="K29" s="129" t="s">
        <v>15</v>
      </c>
      <c r="L29" s="122" t="s">
        <v>15</v>
      </c>
      <c r="M29" s="129" t="s">
        <v>15</v>
      </c>
      <c r="N29" s="122" t="s">
        <v>15</v>
      </c>
      <c r="O29" s="135" t="s">
        <v>15</v>
      </c>
    </row>
    <row r="30" spans="1:15" ht="15" thickBot="1" x14ac:dyDescent="0.4">
      <c r="A30" s="2" t="s">
        <v>4</v>
      </c>
      <c r="B30" s="2" t="s">
        <v>5</v>
      </c>
      <c r="C30" s="3" t="s">
        <v>6</v>
      </c>
      <c r="D30" s="322"/>
      <c r="E30" s="323"/>
      <c r="F30" s="323"/>
      <c r="G30" s="323"/>
      <c r="H30" s="323"/>
      <c r="I30" s="323"/>
      <c r="J30" s="323"/>
      <c r="K30" s="323"/>
      <c r="L30" s="323"/>
      <c r="M30" s="323"/>
      <c r="N30" s="323"/>
      <c r="O30" s="324"/>
    </row>
    <row r="31" spans="1:15" x14ac:dyDescent="0.35">
      <c r="A31" s="292" t="s">
        <v>7</v>
      </c>
      <c r="B31" s="10" t="s">
        <v>8</v>
      </c>
      <c r="C31" s="11" t="s">
        <v>74</v>
      </c>
      <c r="D31" s="137">
        <f>D$16*D$10*(1-D$28)</f>
        <v>602.03689212397012</v>
      </c>
      <c r="E31" s="148">
        <f>E$16*E$10</f>
        <v>109.00924105050501</v>
      </c>
      <c r="F31" s="142">
        <f t="shared" ref="F31:O31" si="26">F$16*F$10</f>
        <v>110.12729020346904</v>
      </c>
      <c r="G31" s="148">
        <f t="shared" si="26"/>
        <v>110.20051475751059</v>
      </c>
      <c r="H31" s="142">
        <f t="shared" si="26"/>
        <v>110.27373931155216</v>
      </c>
      <c r="I31" s="148">
        <f t="shared" si="26"/>
        <v>110.34696386559372</v>
      </c>
      <c r="J31" s="142">
        <f t="shared" si="26"/>
        <v>110.42018841963525</v>
      </c>
      <c r="K31" s="148">
        <f t="shared" si="26"/>
        <v>110.49341297367681</v>
      </c>
      <c r="L31" s="142">
        <f t="shared" si="26"/>
        <v>110.56663752771837</v>
      </c>
      <c r="M31" s="148">
        <f t="shared" si="26"/>
        <v>110.63986208175992</v>
      </c>
      <c r="N31" s="142">
        <f t="shared" si="26"/>
        <v>110.71308663580146</v>
      </c>
      <c r="O31" s="154">
        <f t="shared" si="26"/>
        <v>110.78631118984302</v>
      </c>
    </row>
    <row r="32" spans="1:15" x14ac:dyDescent="0.35">
      <c r="A32" s="293"/>
      <c r="B32" s="2" t="s">
        <v>9</v>
      </c>
      <c r="C32" s="3" t="s">
        <v>74</v>
      </c>
      <c r="D32" s="138">
        <f>D$17*D$11*(1-D$28)</f>
        <v>445.51646183738234</v>
      </c>
      <c r="E32" s="149">
        <f t="shared" ref="E32:O32" si="27">E$17*E$11</f>
        <v>108.07377557960299</v>
      </c>
      <c r="F32" s="143">
        <f t="shared" si="27"/>
        <v>110.12666779475967</v>
      </c>
      <c r="G32" s="149">
        <f t="shared" si="27"/>
        <v>110.19989234880126</v>
      </c>
      <c r="H32" s="143">
        <f t="shared" si="27"/>
        <v>110.2731169028428</v>
      </c>
      <c r="I32" s="149">
        <f t="shared" si="27"/>
        <v>110.34634145688436</v>
      </c>
      <c r="J32" s="143">
        <f t="shared" si="27"/>
        <v>110.41956601092592</v>
      </c>
      <c r="K32" s="149">
        <f t="shared" si="27"/>
        <v>110.49279056496745</v>
      </c>
      <c r="L32" s="143">
        <f t="shared" si="27"/>
        <v>110.56601511900901</v>
      </c>
      <c r="M32" s="149">
        <f t="shared" si="27"/>
        <v>110.63923967305057</v>
      </c>
      <c r="N32" s="143">
        <f t="shared" si="27"/>
        <v>110.7124642270921</v>
      </c>
      <c r="O32" s="155">
        <f t="shared" si="27"/>
        <v>110.78568878113366</v>
      </c>
    </row>
    <row r="33" spans="1:16" x14ac:dyDescent="0.35">
      <c r="A33" s="293"/>
      <c r="B33" s="12" t="s">
        <v>10</v>
      </c>
      <c r="C33" s="3" t="s">
        <v>74</v>
      </c>
      <c r="D33" s="139">
        <f t="shared" ref="D33:I33" si="28">D23*D27*(1-D$28)</f>
        <v>3754.7169739208748</v>
      </c>
      <c r="E33" s="150">
        <f t="shared" si="28"/>
        <v>3898.4786598592923</v>
      </c>
      <c r="F33" s="144">
        <f t="shared" si="28"/>
        <v>5637.713174055375</v>
      </c>
      <c r="G33" s="150">
        <f t="shared" si="28"/>
        <v>5637.713174055375</v>
      </c>
      <c r="H33" s="144">
        <f t="shared" si="28"/>
        <v>5637.713174055375</v>
      </c>
      <c r="I33" s="150">
        <f t="shared" si="28"/>
        <v>5637.713174055375</v>
      </c>
      <c r="J33" s="147">
        <f t="shared" ref="J33:O33" si="29">J23*J27</f>
        <v>332.47994890213874</v>
      </c>
      <c r="K33" s="153">
        <f t="shared" si="29"/>
        <v>341.32852417589072</v>
      </c>
      <c r="L33" s="147">
        <f t="shared" si="29"/>
        <v>350.17709944964264</v>
      </c>
      <c r="M33" s="153">
        <f t="shared" si="29"/>
        <v>359.02567472339467</v>
      </c>
      <c r="N33" s="147">
        <f t="shared" si="29"/>
        <v>367.87424999714659</v>
      </c>
      <c r="O33" s="156">
        <f t="shared" si="29"/>
        <v>376.72282527089862</v>
      </c>
    </row>
    <row r="34" spans="1:16" ht="15" thickBot="1" x14ac:dyDescent="0.4">
      <c r="A34" s="294"/>
      <c r="B34" s="13" t="s">
        <v>11</v>
      </c>
      <c r="C34" s="14" t="s">
        <v>74</v>
      </c>
      <c r="D34" s="140">
        <f>SUM(D31:D33)</f>
        <v>4802.2703278822273</v>
      </c>
      <c r="E34" s="151">
        <f t="shared" ref="E34:O34" si="30">SUM(E31:E33)</f>
        <v>4115.5616764894003</v>
      </c>
      <c r="F34" s="145">
        <f t="shared" si="30"/>
        <v>5857.9671320536036</v>
      </c>
      <c r="G34" s="151">
        <f t="shared" si="30"/>
        <v>5858.1135811616869</v>
      </c>
      <c r="H34" s="145">
        <f t="shared" si="30"/>
        <v>5858.2600302697701</v>
      </c>
      <c r="I34" s="151">
        <f t="shared" si="30"/>
        <v>5858.4064793778534</v>
      </c>
      <c r="J34" s="145">
        <f>SUM(J31:J33)</f>
        <v>553.31970333269987</v>
      </c>
      <c r="K34" s="151">
        <f t="shared" si="30"/>
        <v>562.31472771453491</v>
      </c>
      <c r="L34" s="145">
        <f t="shared" si="30"/>
        <v>571.30975209636995</v>
      </c>
      <c r="M34" s="151">
        <f t="shared" si="30"/>
        <v>580.30477647820521</v>
      </c>
      <c r="N34" s="145">
        <f t="shared" si="30"/>
        <v>589.29980086004014</v>
      </c>
      <c r="O34" s="157">
        <f t="shared" si="30"/>
        <v>598.29482524187529</v>
      </c>
    </row>
    <row r="35" spans="1:16" x14ac:dyDescent="0.35">
      <c r="A35" s="292" t="s">
        <v>12</v>
      </c>
      <c r="B35" s="10" t="s">
        <v>8</v>
      </c>
      <c r="C35" s="11" t="s">
        <v>74</v>
      </c>
      <c r="D35" s="141">
        <f>D$16*$D$14*(1-D$29)</f>
        <v>20.469341448298373</v>
      </c>
      <c r="E35" s="152">
        <f t="shared" ref="E35:O35" si="31">E$16*E$14</f>
        <v>0.47167460069930062</v>
      </c>
      <c r="F35" s="146">
        <f t="shared" si="31"/>
        <v>0.47719974408557247</v>
      </c>
      <c r="G35" s="152">
        <f t="shared" si="31"/>
        <v>0.47821060503078905</v>
      </c>
      <c r="H35" s="146">
        <f t="shared" si="31"/>
        <v>0.47922146597600551</v>
      </c>
      <c r="I35" s="152">
        <f t="shared" si="31"/>
        <v>0.48023232692122197</v>
      </c>
      <c r="J35" s="146">
        <f t="shared" si="31"/>
        <v>0.48124318786643855</v>
      </c>
      <c r="K35" s="152">
        <f t="shared" si="31"/>
        <v>0.48225404881165496</v>
      </c>
      <c r="L35" s="146">
        <f t="shared" si="31"/>
        <v>0.48326490975687147</v>
      </c>
      <c r="M35" s="152">
        <f t="shared" si="31"/>
        <v>0.48427577070208805</v>
      </c>
      <c r="N35" s="146">
        <f t="shared" si="31"/>
        <v>0.48528663164730446</v>
      </c>
      <c r="O35" s="158">
        <f t="shared" si="31"/>
        <v>0.48629749259252097</v>
      </c>
    </row>
    <row r="36" spans="1:16" x14ac:dyDescent="0.35">
      <c r="A36" s="293"/>
      <c r="B36" s="2" t="s">
        <v>9</v>
      </c>
      <c r="C36" s="3" t="s">
        <v>74</v>
      </c>
      <c r="D36" s="138">
        <f>D$17*D$15*(1-D$29)</f>
        <v>15.147850323641054</v>
      </c>
      <c r="E36" s="149">
        <f>E$17*E$15</f>
        <v>0.46762691356558994</v>
      </c>
      <c r="F36" s="143">
        <f t="shared" ref="F36:O36" si="32">F$17*F$15</f>
        <v>0.47719115176753812</v>
      </c>
      <c r="G36" s="149">
        <f t="shared" si="32"/>
        <v>0.47820201271275464</v>
      </c>
      <c r="H36" s="143">
        <f t="shared" si="32"/>
        <v>0.47921287365797122</v>
      </c>
      <c r="I36" s="149">
        <f t="shared" si="32"/>
        <v>0.48022373460318768</v>
      </c>
      <c r="J36" s="143">
        <f t="shared" si="32"/>
        <v>0.4812345955484042</v>
      </c>
      <c r="K36" s="149">
        <f t="shared" si="32"/>
        <v>0.48224545649362072</v>
      </c>
      <c r="L36" s="143">
        <f t="shared" si="32"/>
        <v>0.48325631743883718</v>
      </c>
      <c r="M36" s="149">
        <f t="shared" si="32"/>
        <v>0.48426717838405364</v>
      </c>
      <c r="N36" s="143">
        <f t="shared" si="32"/>
        <v>0.48527803932927005</v>
      </c>
      <c r="O36" s="155">
        <f t="shared" si="32"/>
        <v>0.48628890027448662</v>
      </c>
    </row>
    <row r="37" spans="1:16" x14ac:dyDescent="0.35">
      <c r="A37" s="293"/>
      <c r="B37" s="12" t="s">
        <v>10</v>
      </c>
      <c r="C37" s="3" t="s">
        <v>74</v>
      </c>
      <c r="D37" s="139">
        <f t="shared" ref="D37:I37" si="33">D26*D27*(1-D$29)</f>
        <v>104.13849837906209</v>
      </c>
      <c r="E37" s="150">
        <f t="shared" si="33"/>
        <v>108.12578322690922</v>
      </c>
      <c r="F37" s="144">
        <f t="shared" si="33"/>
        <v>156.3641116802736</v>
      </c>
      <c r="G37" s="150">
        <f t="shared" si="33"/>
        <v>156.3641116802736</v>
      </c>
      <c r="H37" s="144">
        <f t="shared" si="33"/>
        <v>156.3641116802736</v>
      </c>
      <c r="I37" s="153">
        <f t="shared" si="33"/>
        <v>156.3641116802736</v>
      </c>
      <c r="J37" s="147">
        <f t="shared" ref="J37:O37" si="34">J26*J27</f>
        <v>16.623997445106937</v>
      </c>
      <c r="K37" s="153">
        <f t="shared" si="34"/>
        <v>18.035555881634036</v>
      </c>
      <c r="L37" s="147">
        <f t="shared" si="34"/>
        <v>19.447114318161134</v>
      </c>
      <c r="M37" s="153">
        <f t="shared" si="34"/>
        <v>20.858672754688236</v>
      </c>
      <c r="N37" s="147">
        <f t="shared" si="34"/>
        <v>22.270231191215338</v>
      </c>
      <c r="O37" s="156">
        <f t="shared" si="34"/>
        <v>23.681789627742436</v>
      </c>
    </row>
    <row r="38" spans="1:16" ht="15" thickBot="1" x14ac:dyDescent="0.4">
      <c r="A38" s="294"/>
      <c r="B38" s="13" t="s">
        <v>11</v>
      </c>
      <c r="C38" s="14" t="s">
        <v>74</v>
      </c>
      <c r="D38" s="140">
        <f>SUM(D35:D37)</f>
        <v>139.75569015100152</v>
      </c>
      <c r="E38" s="151">
        <f>SUM(E35:E37)</f>
        <v>109.0650847411741</v>
      </c>
      <c r="F38" s="145">
        <f>SUM(F35:F37)</f>
        <v>157.31850257612672</v>
      </c>
      <c r="G38" s="151">
        <f>SUM(G35:G37)</f>
        <v>157.32052429801715</v>
      </c>
      <c r="H38" s="145">
        <f>SUM(H35:H37)</f>
        <v>157.32254601990758</v>
      </c>
      <c r="I38" s="151">
        <f t="shared" ref="I38:O38" si="35">SUM(I35:I37)</f>
        <v>157.32456774179801</v>
      </c>
      <c r="J38" s="145">
        <f t="shared" si="35"/>
        <v>17.586475228521781</v>
      </c>
      <c r="K38" s="151">
        <f t="shared" si="35"/>
        <v>19.000055386939312</v>
      </c>
      <c r="L38" s="145">
        <f t="shared" si="35"/>
        <v>20.413635545356843</v>
      </c>
      <c r="M38" s="151">
        <f t="shared" si="35"/>
        <v>21.827215703774378</v>
      </c>
      <c r="N38" s="145">
        <f t="shared" si="35"/>
        <v>23.240795862191913</v>
      </c>
      <c r="O38" s="157">
        <f t="shared" si="35"/>
        <v>24.654376020609444</v>
      </c>
    </row>
    <row r="39" spans="1:16" ht="15" thickBot="1" x14ac:dyDescent="0.4">
      <c r="H39" s="55"/>
      <c r="I39" s="55"/>
    </row>
    <row r="40" spans="1:16" x14ac:dyDescent="0.35">
      <c r="D40" s="295" t="s">
        <v>94</v>
      </c>
      <c r="E40" s="296"/>
      <c r="F40" s="296"/>
      <c r="G40" s="296"/>
      <c r="H40" s="296"/>
      <c r="I40" s="296"/>
      <c r="J40" s="296"/>
      <c r="K40" s="296"/>
      <c r="L40" s="296"/>
      <c r="M40" s="296"/>
      <c r="N40" s="296"/>
      <c r="O40" s="297"/>
      <c r="P40" s="136"/>
    </row>
    <row r="41" spans="1:16" x14ac:dyDescent="0.35">
      <c r="D41" s="298"/>
      <c r="E41" s="299"/>
      <c r="F41" s="299"/>
      <c r="G41" s="299"/>
      <c r="H41" s="299"/>
      <c r="I41" s="299"/>
      <c r="J41" s="299"/>
      <c r="K41" s="299"/>
      <c r="L41" s="299"/>
      <c r="M41" s="299"/>
      <c r="N41" s="299"/>
      <c r="O41" s="300"/>
    </row>
    <row r="42" spans="1:16" x14ac:dyDescent="0.35">
      <c r="D42" s="298"/>
      <c r="E42" s="299"/>
      <c r="F42" s="299"/>
      <c r="G42" s="299"/>
      <c r="H42" s="299"/>
      <c r="I42" s="299"/>
      <c r="J42" s="299"/>
      <c r="K42" s="299"/>
      <c r="L42" s="299"/>
      <c r="M42" s="299"/>
      <c r="N42" s="299"/>
      <c r="O42" s="300"/>
    </row>
    <row r="43" spans="1:16" ht="15" thickBot="1" x14ac:dyDescent="0.4">
      <c r="D43" s="301"/>
      <c r="E43" s="302"/>
      <c r="F43" s="302"/>
      <c r="G43" s="302"/>
      <c r="H43" s="302"/>
      <c r="I43" s="302"/>
      <c r="J43" s="302"/>
      <c r="K43" s="302"/>
      <c r="L43" s="302"/>
      <c r="M43" s="302"/>
      <c r="N43" s="302"/>
      <c r="O43" s="303"/>
    </row>
    <row r="44" spans="1:16" ht="15" thickBot="1" x14ac:dyDescent="0.4"/>
    <row r="45" spans="1:16" ht="15" thickBot="1" x14ac:dyDescent="0.4">
      <c r="F45" s="3" t="s">
        <v>75</v>
      </c>
      <c r="G45" s="159">
        <v>12</v>
      </c>
      <c r="H45" s="2" t="s">
        <v>13</v>
      </c>
      <c r="J45" s="2"/>
      <c r="K45" s="3" t="s">
        <v>37</v>
      </c>
      <c r="L45" s="159">
        <v>1600</v>
      </c>
      <c r="M45" s="2" t="s">
        <v>13</v>
      </c>
    </row>
    <row r="46" spans="1:16" s="66" customFormat="1" ht="15" thickBot="1" x14ac:dyDescent="0.4">
      <c r="A46" s="16"/>
    </row>
    <row r="47" spans="1:16" x14ac:dyDescent="0.35">
      <c r="D47" s="310" t="s">
        <v>14</v>
      </c>
      <c r="E47" s="311"/>
      <c r="F47" s="311"/>
      <c r="G47" s="311"/>
      <c r="H47" s="311"/>
      <c r="I47" s="311"/>
      <c r="J47" s="311"/>
      <c r="K47" s="311"/>
      <c r="L47" s="311"/>
      <c r="M47" s="311"/>
      <c r="N47" s="311"/>
      <c r="O47" s="312"/>
    </row>
    <row r="48" spans="1:16" x14ac:dyDescent="0.35">
      <c r="A48" s="2"/>
      <c r="B48" s="2"/>
      <c r="C48" s="3" t="s">
        <v>3</v>
      </c>
      <c r="D48" s="160">
        <v>2023</v>
      </c>
      <c r="E48" s="163">
        <v>2024</v>
      </c>
      <c r="F48" s="161">
        <v>2025</v>
      </c>
      <c r="G48" s="163">
        <v>2026</v>
      </c>
      <c r="H48" s="161">
        <v>2027</v>
      </c>
      <c r="I48" s="163">
        <v>2028</v>
      </c>
      <c r="J48" s="161">
        <v>2029</v>
      </c>
      <c r="K48" s="163">
        <v>2030</v>
      </c>
      <c r="L48" s="161">
        <v>2031</v>
      </c>
      <c r="M48" s="163">
        <v>2032</v>
      </c>
      <c r="N48" s="161">
        <v>2033</v>
      </c>
      <c r="O48" s="162">
        <v>2034</v>
      </c>
    </row>
    <row r="49" spans="1:15" ht="73" thickBot="1" x14ac:dyDescent="0.4">
      <c r="A49" s="2"/>
      <c r="B49" s="2"/>
      <c r="C49" s="3" t="s">
        <v>61</v>
      </c>
      <c r="D49" s="286" t="s">
        <v>60</v>
      </c>
      <c r="E49" s="287" t="s">
        <v>60</v>
      </c>
      <c r="F49" s="288" t="s">
        <v>60</v>
      </c>
      <c r="G49" s="287" t="s">
        <v>93</v>
      </c>
      <c r="H49" s="288" t="s">
        <v>76</v>
      </c>
      <c r="I49" s="287" t="s">
        <v>76</v>
      </c>
      <c r="J49" s="288" t="s">
        <v>76</v>
      </c>
      <c r="K49" s="287" t="s">
        <v>76</v>
      </c>
      <c r="L49" s="288" t="s">
        <v>76</v>
      </c>
      <c r="M49" s="287" t="s">
        <v>76</v>
      </c>
      <c r="N49" s="288" t="s">
        <v>76</v>
      </c>
      <c r="O49" s="289" t="s">
        <v>76</v>
      </c>
    </row>
    <row r="50" spans="1:15" x14ac:dyDescent="0.35">
      <c r="A50" s="2"/>
      <c r="B50" s="2"/>
      <c r="C50" s="3"/>
      <c r="D50" s="313" t="s">
        <v>52</v>
      </c>
      <c r="E50" s="314"/>
      <c r="F50" s="314"/>
      <c r="G50" s="314"/>
      <c r="H50" s="314"/>
      <c r="I50" s="314"/>
      <c r="J50" s="314"/>
      <c r="K50" s="314"/>
      <c r="L50" s="314"/>
      <c r="M50" s="314"/>
      <c r="N50" s="314"/>
      <c r="O50" s="315"/>
    </row>
    <row r="51" spans="1:15" x14ac:dyDescent="0.35">
      <c r="A51" s="2"/>
      <c r="B51" s="2"/>
      <c r="C51" s="3" t="s">
        <v>1</v>
      </c>
      <c r="D51" s="164">
        <v>1200</v>
      </c>
      <c r="E51" s="175">
        <v>1200</v>
      </c>
      <c r="F51" s="168">
        <v>1200</v>
      </c>
      <c r="G51" s="175">
        <v>1200</v>
      </c>
      <c r="H51" s="168">
        <v>1200</v>
      </c>
      <c r="I51" s="175">
        <v>1200</v>
      </c>
      <c r="J51" s="168">
        <v>1200</v>
      </c>
      <c r="K51" s="175">
        <v>1200</v>
      </c>
      <c r="L51" s="168">
        <v>1200</v>
      </c>
      <c r="M51" s="175">
        <v>1200</v>
      </c>
      <c r="N51" s="168">
        <v>1200</v>
      </c>
      <c r="O51" s="15">
        <v>1200</v>
      </c>
    </row>
    <row r="52" spans="1:15" x14ac:dyDescent="0.35">
      <c r="A52" s="2"/>
      <c r="B52" s="2"/>
      <c r="C52" s="3" t="s">
        <v>65</v>
      </c>
      <c r="D52" s="164">
        <f>D6</f>
        <v>3687.26</v>
      </c>
      <c r="E52" s="175">
        <v>3709.03</v>
      </c>
      <c r="F52" s="168">
        <v>3748.65</v>
      </c>
      <c r="G52" s="176">
        <f t="shared" ref="G52:I53" si="36">F52+F62</f>
        <v>3788.65</v>
      </c>
      <c r="H52" s="169">
        <f t="shared" si="36"/>
        <v>3810.65</v>
      </c>
      <c r="I52" s="176">
        <f t="shared" si="36"/>
        <v>3822.65</v>
      </c>
      <c r="J52" s="168">
        <f t="shared" ref="J52:O52" si="37">I52+I62</f>
        <v>3834.65</v>
      </c>
      <c r="K52" s="175">
        <f t="shared" si="37"/>
        <v>3846.65</v>
      </c>
      <c r="L52" s="168">
        <f t="shared" si="37"/>
        <v>3858.65</v>
      </c>
      <c r="M52" s="175">
        <f t="shared" si="37"/>
        <v>3870.65</v>
      </c>
      <c r="N52" s="168">
        <f t="shared" si="37"/>
        <v>3882.65</v>
      </c>
      <c r="O52" s="15">
        <f t="shared" si="37"/>
        <v>3894.65</v>
      </c>
    </row>
    <row r="53" spans="1:15" x14ac:dyDescent="0.35">
      <c r="A53" s="2"/>
      <c r="B53" s="2"/>
      <c r="C53" s="3" t="s">
        <v>66</v>
      </c>
      <c r="D53" s="164">
        <f>D7</f>
        <v>3687.78</v>
      </c>
      <c r="E53" s="175">
        <v>3703.89</v>
      </c>
      <c r="F53" s="168">
        <v>3743.17</v>
      </c>
      <c r="G53" s="176">
        <f t="shared" si="36"/>
        <v>3783.17</v>
      </c>
      <c r="H53" s="169">
        <f t="shared" si="36"/>
        <v>3805.17</v>
      </c>
      <c r="I53" s="176">
        <f t="shared" si="36"/>
        <v>3817.17</v>
      </c>
      <c r="J53" s="168">
        <f t="shared" ref="J53:O53" si="38">I53+I63</f>
        <v>3829.17</v>
      </c>
      <c r="K53" s="175">
        <f t="shared" si="38"/>
        <v>3841.17</v>
      </c>
      <c r="L53" s="168">
        <f t="shared" si="38"/>
        <v>3853.17</v>
      </c>
      <c r="M53" s="175">
        <f t="shared" si="38"/>
        <v>3865.17</v>
      </c>
      <c r="N53" s="168">
        <f t="shared" si="38"/>
        <v>3877.17</v>
      </c>
      <c r="O53" s="15">
        <f t="shared" si="38"/>
        <v>3889.17</v>
      </c>
    </row>
    <row r="54" spans="1:15" ht="16.5" x14ac:dyDescent="0.45">
      <c r="A54" s="2"/>
      <c r="B54" s="2"/>
      <c r="C54" s="107" t="s">
        <v>69</v>
      </c>
      <c r="D54" s="165">
        <f>$E$100</f>
        <v>10.3675</v>
      </c>
      <c r="E54" s="176">
        <f>$E$100</f>
        <v>10.3675</v>
      </c>
      <c r="F54" s="169">
        <f>$E$100</f>
        <v>10.3675</v>
      </c>
      <c r="G54" s="176">
        <f t="shared" ref="G54:O54" si="39">$E$100</f>
        <v>10.3675</v>
      </c>
      <c r="H54" s="169">
        <f t="shared" si="39"/>
        <v>10.3675</v>
      </c>
      <c r="I54" s="176">
        <f t="shared" si="39"/>
        <v>10.3675</v>
      </c>
      <c r="J54" s="169">
        <f t="shared" si="39"/>
        <v>10.3675</v>
      </c>
      <c r="K54" s="176">
        <f t="shared" si="39"/>
        <v>10.3675</v>
      </c>
      <c r="L54" s="169">
        <f t="shared" si="39"/>
        <v>10.3675</v>
      </c>
      <c r="M54" s="176">
        <f t="shared" si="39"/>
        <v>10.3675</v>
      </c>
      <c r="N54" s="169">
        <f t="shared" si="39"/>
        <v>10.3675</v>
      </c>
      <c r="O54" s="172">
        <f t="shared" si="39"/>
        <v>10.3675</v>
      </c>
    </row>
    <row r="55" spans="1:15" ht="16.5" x14ac:dyDescent="0.35">
      <c r="A55" s="2"/>
      <c r="B55" s="2"/>
      <c r="C55" s="107" t="s">
        <v>90</v>
      </c>
      <c r="D55" s="166">
        <f t="shared" ref="D55:O55" si="40">D$54*$F$164/Useful_Life</f>
        <v>1.7244950495049502E-4</v>
      </c>
      <c r="E55" s="177">
        <f t="shared" si="40"/>
        <v>1.7244950495049502E-4</v>
      </c>
      <c r="F55" s="170">
        <f t="shared" si="40"/>
        <v>1.7244950495049502E-4</v>
      </c>
      <c r="G55" s="177">
        <f t="shared" si="40"/>
        <v>1.7244950495049502E-4</v>
      </c>
      <c r="H55" s="170">
        <f t="shared" si="40"/>
        <v>1.7244950495049502E-4</v>
      </c>
      <c r="I55" s="177">
        <f t="shared" si="40"/>
        <v>1.7244950495049502E-4</v>
      </c>
      <c r="J55" s="170">
        <f t="shared" si="40"/>
        <v>1.7244950495049502E-4</v>
      </c>
      <c r="K55" s="177">
        <f t="shared" si="40"/>
        <v>1.7244950495049502E-4</v>
      </c>
      <c r="L55" s="170">
        <f t="shared" si="40"/>
        <v>1.7244950495049502E-4</v>
      </c>
      <c r="M55" s="177">
        <f t="shared" si="40"/>
        <v>1.7244950495049502E-4</v>
      </c>
      <c r="N55" s="170">
        <f t="shared" si="40"/>
        <v>1.7244950495049502E-4</v>
      </c>
      <c r="O55" s="173">
        <f t="shared" si="40"/>
        <v>1.7244950495049502E-4</v>
      </c>
    </row>
    <row r="56" spans="1:15" ht="16.5" x14ac:dyDescent="0.45">
      <c r="A56" s="2"/>
      <c r="B56" s="2"/>
      <c r="C56" s="107" t="s">
        <v>70</v>
      </c>
      <c r="D56" s="167">
        <f t="shared" ref="D56:O56" si="41">IF(D52&gt;Useful_Life,CONVERT((D$54+D55*Useful_Life)*D$51,"g","lbm"),CONVERT((D$54+D55*D52)*D$51,"g","lbm"))</f>
        <v>29.109923947681292</v>
      </c>
      <c r="E56" s="178">
        <f t="shared" si="41"/>
        <v>29.119855928828432</v>
      </c>
      <c r="F56" s="171">
        <f t="shared" si="41"/>
        <v>29.137931495803613</v>
      </c>
      <c r="G56" s="178">
        <f t="shared" ref="G56" si="42">IF(G52&gt;Useful_Life,CONVERT((G$54+G55*Useful_Life)*G$51,"g","lbm"),CONVERT((G$54+G55*G52)*G$51,"g","lbm"))</f>
        <v>29.156180427631156</v>
      </c>
      <c r="H56" s="171">
        <f t="shared" si="41"/>
        <v>29.16621734013631</v>
      </c>
      <c r="I56" s="178">
        <f t="shared" si="41"/>
        <v>29.171692019684571</v>
      </c>
      <c r="J56" s="171">
        <f t="shared" si="41"/>
        <v>29.177166699232835</v>
      </c>
      <c r="K56" s="178">
        <f t="shared" si="41"/>
        <v>29.182641378781099</v>
      </c>
      <c r="L56" s="171">
        <f t="shared" si="41"/>
        <v>29.18811605832936</v>
      </c>
      <c r="M56" s="178">
        <f t="shared" si="41"/>
        <v>29.193590737877621</v>
      </c>
      <c r="N56" s="171">
        <f t="shared" si="41"/>
        <v>29.199065417425885</v>
      </c>
      <c r="O56" s="174">
        <f t="shared" si="41"/>
        <v>29.204540096974146</v>
      </c>
    </row>
    <row r="57" spans="1:15" ht="16.5" x14ac:dyDescent="0.45">
      <c r="A57" s="2"/>
      <c r="B57" s="2"/>
      <c r="C57" s="107" t="s">
        <v>71</v>
      </c>
      <c r="D57" s="167">
        <f t="shared" ref="D57:O57" si="43">IF(D53&gt;Useful_Life,CONVERT((D$54+D55*Useful_Life)*D$51,"g","lbm"),CONVERT((D$54+D55*D53)*D$51,"g","lbm"))</f>
        <v>29.110161183795054</v>
      </c>
      <c r="E57" s="178">
        <f t="shared" si="43"/>
        <v>29.117510941088597</v>
      </c>
      <c r="F57" s="171">
        <f t="shared" si="43"/>
        <v>29.135431392143243</v>
      </c>
      <c r="G57" s="178">
        <f t="shared" ref="G57" si="44">IF(G53&gt;Useful_Life,CONVERT((G$54+G55*Useful_Life)*G$51,"g","lbm"),CONVERT((G$54+G55*G53)*G$51,"g","lbm"))</f>
        <v>29.153680323970786</v>
      </c>
      <c r="H57" s="171">
        <f t="shared" si="43"/>
        <v>29.163717236475939</v>
      </c>
      <c r="I57" s="178">
        <f t="shared" si="43"/>
        <v>29.169191916024197</v>
      </c>
      <c r="J57" s="171">
        <f t="shared" si="43"/>
        <v>29.174666595572457</v>
      </c>
      <c r="K57" s="178">
        <f t="shared" si="43"/>
        <v>29.180141275120722</v>
      </c>
      <c r="L57" s="171">
        <f t="shared" si="43"/>
        <v>29.185615954668986</v>
      </c>
      <c r="M57" s="178">
        <f t="shared" si="43"/>
        <v>29.191090634217247</v>
      </c>
      <c r="N57" s="171">
        <f t="shared" si="43"/>
        <v>29.196565313765515</v>
      </c>
      <c r="O57" s="174">
        <f t="shared" si="43"/>
        <v>29.202039993313775</v>
      </c>
    </row>
    <row r="58" spans="1:15" x14ac:dyDescent="0.35">
      <c r="A58" s="2"/>
      <c r="B58" s="2"/>
      <c r="C58" s="105" t="s">
        <v>49</v>
      </c>
      <c r="D58" s="167">
        <f t="shared" ref="D58:O58" si="45">$E$101</f>
        <v>0.42463600000000001</v>
      </c>
      <c r="E58" s="178">
        <f t="shared" si="45"/>
        <v>0.42463600000000001</v>
      </c>
      <c r="F58" s="171">
        <f t="shared" si="45"/>
        <v>0.42463600000000001</v>
      </c>
      <c r="G58" s="178">
        <f t="shared" si="45"/>
        <v>0.42463600000000001</v>
      </c>
      <c r="H58" s="171">
        <f t="shared" si="45"/>
        <v>0.42463600000000001</v>
      </c>
      <c r="I58" s="178">
        <f t="shared" si="45"/>
        <v>0.42463600000000001</v>
      </c>
      <c r="J58" s="171">
        <f t="shared" si="45"/>
        <v>0.42463600000000001</v>
      </c>
      <c r="K58" s="178">
        <f t="shared" si="45"/>
        <v>0.42463600000000001</v>
      </c>
      <c r="L58" s="171">
        <f t="shared" si="45"/>
        <v>0.42463600000000001</v>
      </c>
      <c r="M58" s="178">
        <f t="shared" si="45"/>
        <v>0.42463600000000001</v>
      </c>
      <c r="N58" s="171">
        <f t="shared" si="45"/>
        <v>0.42463600000000001</v>
      </c>
      <c r="O58" s="174">
        <f t="shared" si="45"/>
        <v>0.42463600000000001</v>
      </c>
    </row>
    <row r="59" spans="1:15" ht="16.5" x14ac:dyDescent="0.35">
      <c r="A59" s="2"/>
      <c r="B59" s="2"/>
      <c r="C59" s="105" t="s">
        <v>91</v>
      </c>
      <c r="D59" s="181">
        <f t="shared" ref="D59:O59" si="46">D$58*$F$165/Useful_Life</f>
        <v>2.2535138217821784E-5</v>
      </c>
      <c r="E59" s="183">
        <f t="shared" si="46"/>
        <v>2.2535138217821784E-5</v>
      </c>
      <c r="F59" s="182">
        <f t="shared" si="46"/>
        <v>2.2535138217821784E-5</v>
      </c>
      <c r="G59" s="183">
        <f t="shared" si="46"/>
        <v>2.2535138217821784E-5</v>
      </c>
      <c r="H59" s="182">
        <f t="shared" si="46"/>
        <v>2.2535138217821784E-5</v>
      </c>
      <c r="I59" s="183">
        <f t="shared" si="46"/>
        <v>2.2535138217821784E-5</v>
      </c>
      <c r="J59" s="182">
        <f t="shared" si="46"/>
        <v>2.2535138217821784E-5</v>
      </c>
      <c r="K59" s="183">
        <f t="shared" si="46"/>
        <v>2.2535138217821784E-5</v>
      </c>
      <c r="L59" s="182">
        <f t="shared" si="46"/>
        <v>2.2535138217821784E-5</v>
      </c>
      <c r="M59" s="183">
        <f t="shared" si="46"/>
        <v>2.2535138217821784E-5</v>
      </c>
      <c r="N59" s="182">
        <f t="shared" si="46"/>
        <v>2.2535138217821784E-5</v>
      </c>
      <c r="O59" s="185">
        <f t="shared" si="46"/>
        <v>2.2535138217821784E-5</v>
      </c>
    </row>
    <row r="60" spans="1:15" x14ac:dyDescent="0.35">
      <c r="A60" s="2"/>
      <c r="B60" s="2"/>
      <c r="C60" s="105" t="s">
        <v>50</v>
      </c>
      <c r="D60" s="186">
        <f t="shared" ref="D60:O60" si="47">IF(D52&gt;Useful_Life,CONVERT((D$58+D59*Useful_Life)*D$51,"g","lbm"),CONVERT((D$58+D59*D52)*D$51,"g","lbm"))</f>
        <v>1.3432207788108401</v>
      </c>
      <c r="E60" s="191">
        <f t="shared" si="47"/>
        <v>1.3445186576768411</v>
      </c>
      <c r="F60" s="188">
        <f t="shared" si="47"/>
        <v>1.3468807137480843</v>
      </c>
      <c r="G60" s="191">
        <f>IF(G52&gt;Useful_Life,CONVERT((G$58+G59*Useful_Life)*G$51,"g","lbm"),CONVERT((G$58+G59*G52)*G$51,"g","lbm"))</f>
        <v>1.3492654245721565</v>
      </c>
      <c r="H60" s="190">
        <f t="shared" si="47"/>
        <v>1.350577015525396</v>
      </c>
      <c r="I60" s="191">
        <f t="shared" si="47"/>
        <v>1.3512924287726173</v>
      </c>
      <c r="J60" s="190">
        <f t="shared" si="47"/>
        <v>1.3520078420198391</v>
      </c>
      <c r="K60" s="191">
        <f t="shared" si="47"/>
        <v>1.3527232552670607</v>
      </c>
      <c r="L60" s="190">
        <f t="shared" si="47"/>
        <v>1.3534386685142821</v>
      </c>
      <c r="M60" s="191">
        <f t="shared" si="47"/>
        <v>1.3541540817615036</v>
      </c>
      <c r="N60" s="190">
        <f t="shared" si="47"/>
        <v>1.3548694950087252</v>
      </c>
      <c r="O60" s="192">
        <f t="shared" si="47"/>
        <v>1.355584908255947</v>
      </c>
    </row>
    <row r="61" spans="1:15" x14ac:dyDescent="0.35">
      <c r="A61" s="2"/>
      <c r="B61" s="2"/>
      <c r="C61" s="105" t="s">
        <v>51</v>
      </c>
      <c r="D61" s="187">
        <f t="shared" ref="D61:O61" si="48">IF(D53&gt;Useful_Life,CONVERT((D$58+D59*Useful_Life)*D$51,"g","lbm"),CONVERT((D$58+D59*D53)*D$51,"g","lbm"))</f>
        <v>1.3432517800515529</v>
      </c>
      <c r="E61" s="178">
        <f t="shared" si="48"/>
        <v>1.3442122223359476</v>
      </c>
      <c r="F61" s="189">
        <f t="shared" si="48"/>
        <v>1.3465540083651866</v>
      </c>
      <c r="G61" s="178">
        <f t="shared" si="48"/>
        <v>1.3489387191892583</v>
      </c>
      <c r="H61" s="171">
        <f t="shared" si="48"/>
        <v>1.3502503101424981</v>
      </c>
      <c r="I61" s="178">
        <f t="shared" si="48"/>
        <v>1.3509657233897197</v>
      </c>
      <c r="J61" s="171">
        <f t="shared" si="48"/>
        <v>1.351681136636941</v>
      </c>
      <c r="K61" s="178">
        <f t="shared" si="48"/>
        <v>1.3523965498841626</v>
      </c>
      <c r="L61" s="171">
        <f t="shared" si="48"/>
        <v>1.3531119631313846</v>
      </c>
      <c r="M61" s="178">
        <f t="shared" si="48"/>
        <v>1.353827376378606</v>
      </c>
      <c r="N61" s="171">
        <f t="shared" si="48"/>
        <v>1.3545427896258275</v>
      </c>
      <c r="O61" s="174">
        <f t="shared" si="48"/>
        <v>1.3552582028730489</v>
      </c>
    </row>
    <row r="62" spans="1:15" x14ac:dyDescent="0.35">
      <c r="A62" s="2"/>
      <c r="B62" s="3"/>
      <c r="C62" s="6" t="s">
        <v>67</v>
      </c>
      <c r="D62" s="200">
        <f>E52-D52</f>
        <v>21.769999999999982</v>
      </c>
      <c r="E62" s="201">
        <f>F52-E52</f>
        <v>39.619999999999891</v>
      </c>
      <c r="F62" s="204">
        <v>40</v>
      </c>
      <c r="G62" s="198">
        <f>$G$45+10</f>
        <v>22</v>
      </c>
      <c r="H62" s="194">
        <f>$G$45</f>
        <v>12</v>
      </c>
      <c r="I62" s="198">
        <f t="shared" ref="I62:O62" si="49">$G$45</f>
        <v>12</v>
      </c>
      <c r="J62" s="194">
        <f t="shared" si="49"/>
        <v>12</v>
      </c>
      <c r="K62" s="198">
        <f t="shared" si="49"/>
        <v>12</v>
      </c>
      <c r="L62" s="194">
        <f t="shared" si="49"/>
        <v>12</v>
      </c>
      <c r="M62" s="198">
        <f t="shared" si="49"/>
        <v>12</v>
      </c>
      <c r="N62" s="194">
        <f t="shared" si="49"/>
        <v>12</v>
      </c>
      <c r="O62" s="196">
        <f t="shared" si="49"/>
        <v>12</v>
      </c>
    </row>
    <row r="63" spans="1:15" ht="15" thickBot="1" x14ac:dyDescent="0.4">
      <c r="A63" s="2"/>
      <c r="B63" s="2"/>
      <c r="C63" s="6" t="s">
        <v>68</v>
      </c>
      <c r="D63" s="202">
        <f>E53-D53</f>
        <v>16.109999999999673</v>
      </c>
      <c r="E63" s="203">
        <f>F53-E53</f>
        <v>39.2800000000002</v>
      </c>
      <c r="F63" s="205">
        <v>40</v>
      </c>
      <c r="G63" s="199">
        <f>$G$45+10</f>
        <v>22</v>
      </c>
      <c r="H63" s="195">
        <f t="shared" ref="H63:O63" si="50">$G$45</f>
        <v>12</v>
      </c>
      <c r="I63" s="199">
        <f t="shared" si="50"/>
        <v>12</v>
      </c>
      <c r="J63" s="195">
        <f t="shared" si="50"/>
        <v>12</v>
      </c>
      <c r="K63" s="199">
        <f t="shared" si="50"/>
        <v>12</v>
      </c>
      <c r="L63" s="195">
        <f t="shared" si="50"/>
        <v>12</v>
      </c>
      <c r="M63" s="199">
        <f t="shared" si="50"/>
        <v>12</v>
      </c>
      <c r="N63" s="195">
        <f t="shared" si="50"/>
        <v>12</v>
      </c>
      <c r="O63" s="197">
        <f t="shared" si="50"/>
        <v>12</v>
      </c>
    </row>
    <row r="64" spans="1:15" x14ac:dyDescent="0.35">
      <c r="A64" s="2"/>
      <c r="B64" s="2"/>
      <c r="C64" s="6"/>
      <c r="D64" s="316" t="s">
        <v>53</v>
      </c>
      <c r="E64" s="317"/>
      <c r="F64" s="317"/>
      <c r="G64" s="317"/>
      <c r="H64" s="317"/>
      <c r="I64" s="317"/>
      <c r="J64" s="317"/>
      <c r="K64" s="317"/>
      <c r="L64" s="317"/>
      <c r="M64" s="317"/>
      <c r="N64" s="317"/>
      <c r="O64" s="318"/>
    </row>
    <row r="65" spans="1:30" x14ac:dyDescent="0.35">
      <c r="A65" s="2"/>
      <c r="B65" s="2"/>
      <c r="C65" s="6" t="s">
        <v>1</v>
      </c>
      <c r="D65" s="206">
        <v>316</v>
      </c>
      <c r="E65" s="211">
        <v>316</v>
      </c>
      <c r="F65" s="193">
        <v>316</v>
      </c>
      <c r="G65" s="213">
        <v>316</v>
      </c>
      <c r="H65" s="193">
        <v>316</v>
      </c>
      <c r="I65" s="213">
        <v>316</v>
      </c>
      <c r="J65" s="193">
        <v>316</v>
      </c>
      <c r="K65" s="211">
        <v>316</v>
      </c>
      <c r="L65" s="193">
        <v>316</v>
      </c>
      <c r="M65" s="211">
        <v>316</v>
      </c>
      <c r="N65" s="193">
        <v>316</v>
      </c>
      <c r="O65" s="209">
        <v>316</v>
      </c>
    </row>
    <row r="66" spans="1:30" x14ac:dyDescent="0.35">
      <c r="A66" s="2"/>
      <c r="B66" s="2"/>
      <c r="C66" s="6" t="s">
        <v>54</v>
      </c>
      <c r="D66" s="206">
        <f>D20</f>
        <v>31502.400000000001</v>
      </c>
      <c r="E66" s="211">
        <f>E20</f>
        <v>32568</v>
      </c>
      <c r="F66" s="207">
        <f>F20</f>
        <v>33674.400000000001</v>
      </c>
      <c r="G66" s="213">
        <v>0</v>
      </c>
      <c r="H66" s="193">
        <f>G66+G73</f>
        <v>1600</v>
      </c>
      <c r="I66" s="213">
        <f t="shared" ref="I66:O66" si="51">H66+H73</f>
        <v>3200</v>
      </c>
      <c r="J66" s="193">
        <f t="shared" si="51"/>
        <v>4800</v>
      </c>
      <c r="K66" s="211">
        <f t="shared" si="51"/>
        <v>6400</v>
      </c>
      <c r="L66" s="193">
        <f t="shared" si="51"/>
        <v>8000</v>
      </c>
      <c r="M66" s="211">
        <f t="shared" si="51"/>
        <v>9600</v>
      </c>
      <c r="N66" s="193">
        <f t="shared" si="51"/>
        <v>11200</v>
      </c>
      <c r="O66" s="209">
        <f t="shared" si="51"/>
        <v>12800</v>
      </c>
    </row>
    <row r="67" spans="1:30" ht="15.65" customHeight="1" x14ac:dyDescent="0.45">
      <c r="A67" s="2"/>
      <c r="B67" s="2"/>
      <c r="C67" s="108" t="s">
        <v>69</v>
      </c>
      <c r="D67" s="167">
        <f>$G$229</f>
        <v>4.4000000000000004</v>
      </c>
      <c r="E67" s="212">
        <f>$G$229</f>
        <v>4.4000000000000004</v>
      </c>
      <c r="F67" s="208">
        <f>$G$229</f>
        <v>4.4000000000000004</v>
      </c>
      <c r="G67" s="214">
        <f t="shared" ref="G67:O67" si="52">$G$241</f>
        <v>0.29828000000000005</v>
      </c>
      <c r="H67" s="208">
        <f t="shared" si="52"/>
        <v>0.29828000000000005</v>
      </c>
      <c r="I67" s="214">
        <f t="shared" si="52"/>
        <v>0.29828000000000005</v>
      </c>
      <c r="J67" s="208">
        <f t="shared" si="52"/>
        <v>0.29828000000000005</v>
      </c>
      <c r="K67" s="212">
        <f t="shared" si="52"/>
        <v>0.29828000000000005</v>
      </c>
      <c r="L67" s="208">
        <f t="shared" si="52"/>
        <v>0.29828000000000005</v>
      </c>
      <c r="M67" s="212">
        <f t="shared" si="52"/>
        <v>0.29828000000000005</v>
      </c>
      <c r="N67" s="208">
        <f t="shared" si="52"/>
        <v>0.29828000000000005</v>
      </c>
      <c r="O67" s="210">
        <f t="shared" si="52"/>
        <v>0.29828000000000005</v>
      </c>
      <c r="T67" s="2"/>
      <c r="U67" s="2"/>
      <c r="V67" s="2"/>
      <c r="W67" s="2"/>
      <c r="X67" s="2"/>
      <c r="Y67" s="2"/>
      <c r="Z67" s="2"/>
      <c r="AA67" s="2"/>
      <c r="AB67" s="2"/>
      <c r="AC67" s="2"/>
      <c r="AD67" s="2"/>
    </row>
    <row r="68" spans="1:30" ht="16.5" x14ac:dyDescent="0.35">
      <c r="A68" s="2"/>
      <c r="B68" s="2"/>
      <c r="C68" s="107" t="s">
        <v>90</v>
      </c>
      <c r="D68" s="215">
        <f t="shared" ref="D68:O68" si="53">D$67*$F$164/Useful_Life</f>
        <v>7.3188118811881196E-5</v>
      </c>
      <c r="E68" s="184">
        <f t="shared" si="53"/>
        <v>7.3188118811881196E-5</v>
      </c>
      <c r="F68" s="182">
        <f t="shared" si="53"/>
        <v>7.3188118811881196E-5</v>
      </c>
      <c r="G68" s="183">
        <f t="shared" si="53"/>
        <v>4.9614891089108913E-6</v>
      </c>
      <c r="H68" s="182">
        <f t="shared" si="53"/>
        <v>4.9614891089108913E-6</v>
      </c>
      <c r="I68" s="183">
        <f t="shared" si="53"/>
        <v>4.9614891089108913E-6</v>
      </c>
      <c r="J68" s="182">
        <f t="shared" si="53"/>
        <v>4.9614891089108913E-6</v>
      </c>
      <c r="K68" s="183">
        <f t="shared" si="53"/>
        <v>4.9614891089108913E-6</v>
      </c>
      <c r="L68" s="182">
        <f t="shared" si="53"/>
        <v>4.9614891089108913E-6</v>
      </c>
      <c r="M68" s="183">
        <f t="shared" si="53"/>
        <v>4.9614891089108913E-6</v>
      </c>
      <c r="N68" s="182">
        <f t="shared" si="53"/>
        <v>4.9614891089108913E-6</v>
      </c>
      <c r="O68" s="185">
        <f t="shared" si="53"/>
        <v>4.9614891089108913E-6</v>
      </c>
    </row>
    <row r="69" spans="1:30" ht="16.5" x14ac:dyDescent="0.45">
      <c r="A69" s="2"/>
      <c r="B69" s="2"/>
      <c r="C69" s="107" t="s">
        <v>72</v>
      </c>
      <c r="D69" s="216">
        <f t="shared" ref="D69:O69" si="54">IF(D66&gt;Useful_Life,CONVERT((D$67+D68*Useful_Life)*D$65,"g","lbm"),CONVERT((D$67+D68*D66)*D$65,"g","lbm"))</f>
        <v>3.7090218250364311</v>
      </c>
      <c r="E69" s="212">
        <f t="shared" si="54"/>
        <v>3.7090218250364311</v>
      </c>
      <c r="F69" s="208">
        <f t="shared" si="54"/>
        <v>3.7090218250364311</v>
      </c>
      <c r="G69" s="214">
        <f t="shared" si="54"/>
        <v>0.20779996806383672</v>
      </c>
      <c r="H69" s="208">
        <f t="shared" si="54"/>
        <v>0.2133303276099317</v>
      </c>
      <c r="I69" s="214">
        <f t="shared" si="54"/>
        <v>0.21886068715602666</v>
      </c>
      <c r="J69" s="208">
        <f t="shared" si="54"/>
        <v>0.22439104670212168</v>
      </c>
      <c r="K69" s="212">
        <f t="shared" si="54"/>
        <v>0.22992140624821664</v>
      </c>
      <c r="L69" s="208">
        <f t="shared" si="54"/>
        <v>0.23545176579431162</v>
      </c>
      <c r="M69" s="212">
        <f t="shared" si="54"/>
        <v>0.24098212534040658</v>
      </c>
      <c r="N69" s="208">
        <f t="shared" si="54"/>
        <v>0.2465124848865016</v>
      </c>
      <c r="O69" s="210">
        <f t="shared" si="54"/>
        <v>0.25143796135724245</v>
      </c>
    </row>
    <row r="70" spans="1:30" x14ac:dyDescent="0.35">
      <c r="A70" s="2"/>
      <c r="B70" s="2"/>
      <c r="C70" s="106" t="s">
        <v>49</v>
      </c>
      <c r="D70" s="167">
        <f>$G$230</f>
        <v>0.12</v>
      </c>
      <c r="E70" s="212">
        <f>$G$230</f>
        <v>0.12</v>
      </c>
      <c r="F70" s="208">
        <f>$G$230</f>
        <v>0.12</v>
      </c>
      <c r="G70" s="224">
        <f t="shared" ref="G70:O70" si="55">$G$243</f>
        <v>1.4914E-2</v>
      </c>
      <c r="H70" s="220">
        <f t="shared" si="55"/>
        <v>1.4914E-2</v>
      </c>
      <c r="I70" s="224">
        <f t="shared" si="55"/>
        <v>1.4914E-2</v>
      </c>
      <c r="J70" s="220">
        <f t="shared" si="55"/>
        <v>1.4914E-2</v>
      </c>
      <c r="K70" s="223">
        <f t="shared" si="55"/>
        <v>1.4914E-2</v>
      </c>
      <c r="L70" s="220">
        <f t="shared" si="55"/>
        <v>1.4914E-2</v>
      </c>
      <c r="M70" s="223">
        <f t="shared" si="55"/>
        <v>1.4914E-2</v>
      </c>
      <c r="N70" s="220">
        <f t="shared" si="55"/>
        <v>1.4914E-2</v>
      </c>
      <c r="O70" s="222">
        <f t="shared" si="55"/>
        <v>1.4914E-2</v>
      </c>
    </row>
    <row r="71" spans="1:30" ht="16.5" x14ac:dyDescent="0.35">
      <c r="A71" s="2"/>
      <c r="B71" s="2"/>
      <c r="C71" s="105" t="s">
        <v>91</v>
      </c>
      <c r="D71" s="215">
        <f t="shared" ref="D71:O71" si="56">D$70*$F$165/Useful_Life</f>
        <v>6.3683168316831679E-6</v>
      </c>
      <c r="E71" s="177">
        <f t="shared" si="56"/>
        <v>6.3683168316831679E-6</v>
      </c>
      <c r="F71" s="218">
        <f t="shared" si="56"/>
        <v>6.3683168316831679E-6</v>
      </c>
      <c r="G71" s="177">
        <f t="shared" si="56"/>
        <v>7.9147564356435647E-7</v>
      </c>
      <c r="H71" s="218">
        <f t="shared" si="56"/>
        <v>7.9147564356435647E-7</v>
      </c>
      <c r="I71" s="177">
        <f t="shared" si="56"/>
        <v>7.9147564356435647E-7</v>
      </c>
      <c r="J71" s="218">
        <f t="shared" si="56"/>
        <v>7.9147564356435647E-7</v>
      </c>
      <c r="K71" s="177">
        <f t="shared" si="56"/>
        <v>7.9147564356435647E-7</v>
      </c>
      <c r="L71" s="218">
        <f t="shared" si="56"/>
        <v>7.9147564356435647E-7</v>
      </c>
      <c r="M71" s="177">
        <f t="shared" si="56"/>
        <v>7.9147564356435647E-7</v>
      </c>
      <c r="N71" s="218">
        <f t="shared" si="56"/>
        <v>7.9147564356435647E-7</v>
      </c>
      <c r="O71" s="173">
        <f t="shared" si="56"/>
        <v>7.9147564356435647E-7</v>
      </c>
    </row>
    <row r="72" spans="1:30" x14ac:dyDescent="0.35">
      <c r="A72" s="2"/>
      <c r="B72" s="2"/>
      <c r="C72" s="105" t="s">
        <v>2</v>
      </c>
      <c r="D72" s="217">
        <f t="shared" ref="D72:O72" si="57">IF(D66&gt;Useful_Life,CONVERT((D$70+D71*Useful_Life)*D$65,"g","lbm"),CONVERT((D$70+D71*D66)*D$65,"g","lbm"))</f>
        <v>0.1396108140002443</v>
      </c>
      <c r="E72" s="212">
        <f t="shared" si="57"/>
        <v>0.1396108140002443</v>
      </c>
      <c r="F72" s="219">
        <f t="shared" si="57"/>
        <v>0.1396108140002443</v>
      </c>
      <c r="G72" s="223">
        <f t="shared" si="57"/>
        <v>1.0389998403191835E-2</v>
      </c>
      <c r="H72" s="221">
        <f t="shared" si="57"/>
        <v>1.1272222426021272E-2</v>
      </c>
      <c r="I72" s="223">
        <f t="shared" si="57"/>
        <v>1.2154446448850709E-2</v>
      </c>
      <c r="J72" s="221">
        <f t="shared" si="57"/>
        <v>1.3036670471680147E-2</v>
      </c>
      <c r="K72" s="223">
        <f t="shared" si="57"/>
        <v>1.3918894494509585E-2</v>
      </c>
      <c r="L72" s="221">
        <f t="shared" si="57"/>
        <v>1.4801118517339023E-2</v>
      </c>
      <c r="M72" s="223">
        <f t="shared" si="57"/>
        <v>1.5683342540168458E-2</v>
      </c>
      <c r="N72" s="221">
        <f t="shared" si="57"/>
        <v>1.6565566562997895E-2</v>
      </c>
      <c r="O72" s="222">
        <f t="shared" si="57"/>
        <v>1.7351297333330365E-2</v>
      </c>
    </row>
    <row r="73" spans="1:30" x14ac:dyDescent="0.35">
      <c r="A73" s="2"/>
      <c r="B73" s="2"/>
      <c r="C73" s="6" t="s">
        <v>73</v>
      </c>
      <c r="D73" s="232">
        <f>D27</f>
        <v>1065.5999999999985</v>
      </c>
      <c r="E73" s="248">
        <f>E27</f>
        <v>1106.4000000000001</v>
      </c>
      <c r="F73" s="239">
        <f>$L$45</f>
        <v>1600</v>
      </c>
      <c r="G73" s="278">
        <f>$L$45</f>
        <v>1600</v>
      </c>
      <c r="H73" s="239">
        <f>$L$45</f>
        <v>1600</v>
      </c>
      <c r="I73" s="198">
        <f>$L$45</f>
        <v>1600</v>
      </c>
      <c r="J73" s="239">
        <f t="shared" ref="J73:O73" si="58">$L$45</f>
        <v>1600</v>
      </c>
      <c r="K73" s="198">
        <f t="shared" si="58"/>
        <v>1600</v>
      </c>
      <c r="L73" s="239">
        <f t="shared" si="58"/>
        <v>1600</v>
      </c>
      <c r="M73" s="198">
        <f t="shared" si="58"/>
        <v>1600</v>
      </c>
      <c r="N73" s="239">
        <f t="shared" si="58"/>
        <v>1600</v>
      </c>
      <c r="O73" s="196">
        <f t="shared" si="58"/>
        <v>1600</v>
      </c>
    </row>
    <row r="74" spans="1:30" ht="17.5" x14ac:dyDescent="0.45">
      <c r="A74" s="2"/>
      <c r="B74" s="2"/>
      <c r="C74" s="35" t="s">
        <v>26</v>
      </c>
      <c r="D74" s="233">
        <v>0.05</v>
      </c>
      <c r="E74" s="249">
        <f>D74</f>
        <v>0.05</v>
      </c>
      <c r="F74" s="240">
        <f t="shared" ref="F74:O74" si="59">E74</f>
        <v>0.05</v>
      </c>
      <c r="G74" s="277">
        <f>F74</f>
        <v>0.05</v>
      </c>
      <c r="H74" s="240">
        <f t="shared" si="59"/>
        <v>0.05</v>
      </c>
      <c r="I74" s="249">
        <f t="shared" si="59"/>
        <v>0.05</v>
      </c>
      <c r="J74" s="240">
        <f t="shared" si="59"/>
        <v>0.05</v>
      </c>
      <c r="K74" s="249">
        <f t="shared" si="59"/>
        <v>0.05</v>
      </c>
      <c r="L74" s="240">
        <f t="shared" si="59"/>
        <v>0.05</v>
      </c>
      <c r="M74" s="249">
        <f t="shared" si="59"/>
        <v>0.05</v>
      </c>
      <c r="N74" s="240">
        <f t="shared" si="59"/>
        <v>0.05</v>
      </c>
      <c r="O74" s="261">
        <f t="shared" si="59"/>
        <v>0.05</v>
      </c>
    </row>
    <row r="75" spans="1:30" ht="16.5" x14ac:dyDescent="0.35">
      <c r="A75" s="2"/>
      <c r="B75" s="2"/>
      <c r="C75" s="35" t="s">
        <v>25</v>
      </c>
      <c r="D75" s="233">
        <v>0.3</v>
      </c>
      <c r="E75" s="249">
        <f>D75</f>
        <v>0.3</v>
      </c>
      <c r="F75" s="240">
        <f t="shared" ref="F75:O75" si="60">E75</f>
        <v>0.3</v>
      </c>
      <c r="G75" s="277">
        <f>F75</f>
        <v>0.3</v>
      </c>
      <c r="H75" s="240">
        <f t="shared" si="60"/>
        <v>0.3</v>
      </c>
      <c r="I75" s="249">
        <f t="shared" si="60"/>
        <v>0.3</v>
      </c>
      <c r="J75" s="240">
        <f t="shared" si="60"/>
        <v>0.3</v>
      </c>
      <c r="K75" s="249">
        <f t="shared" si="60"/>
        <v>0.3</v>
      </c>
      <c r="L75" s="240">
        <f t="shared" si="60"/>
        <v>0.3</v>
      </c>
      <c r="M75" s="249">
        <f t="shared" si="60"/>
        <v>0.3</v>
      </c>
      <c r="N75" s="240">
        <f t="shared" si="60"/>
        <v>0.3</v>
      </c>
      <c r="O75" s="261">
        <f t="shared" si="60"/>
        <v>0.3</v>
      </c>
    </row>
    <row r="76" spans="1:30" ht="15" thickBot="1" x14ac:dyDescent="0.4">
      <c r="A76" s="2" t="s">
        <v>4</v>
      </c>
      <c r="B76" s="2" t="s">
        <v>5</v>
      </c>
      <c r="C76" s="3" t="s">
        <v>6</v>
      </c>
      <c r="D76" s="57"/>
      <c r="E76" s="58"/>
      <c r="F76" s="58"/>
      <c r="G76" s="58"/>
      <c r="H76" s="58"/>
      <c r="I76" s="58"/>
      <c r="J76" s="58"/>
      <c r="K76" s="58"/>
      <c r="L76" s="58"/>
      <c r="M76" s="58"/>
      <c r="N76" s="58"/>
      <c r="O76" s="59"/>
    </row>
    <row r="77" spans="1:30" x14ac:dyDescent="0.35">
      <c r="A77" s="292" t="s">
        <v>7</v>
      </c>
      <c r="B77" s="10" t="s">
        <v>8</v>
      </c>
      <c r="C77" s="11" t="s">
        <v>74</v>
      </c>
      <c r="D77" s="234">
        <f>D$62*D$56*(1-D$74)</f>
        <v>602.03689212397012</v>
      </c>
      <c r="E77" s="250">
        <f>E$62*E$56*(1-E$74)</f>
        <v>1096.0422573051703</v>
      </c>
      <c r="F77" s="241">
        <f>F$62*F$56*(1-F$74)</f>
        <v>1107.2413968405374</v>
      </c>
      <c r="G77" s="250">
        <f>G$62*G$56*(1-G$74)</f>
        <v>609.36417093749105</v>
      </c>
      <c r="H77" s="241">
        <f t="shared" ref="H77:O77" si="61">H$62*H$56*(1-H$74)</f>
        <v>332.49487767755392</v>
      </c>
      <c r="I77" s="250">
        <f t="shared" si="61"/>
        <v>332.5572890244041</v>
      </c>
      <c r="J77" s="241">
        <f t="shared" si="61"/>
        <v>332.61970037125434</v>
      </c>
      <c r="K77" s="250">
        <f t="shared" si="61"/>
        <v>332.68211171810452</v>
      </c>
      <c r="L77" s="241">
        <f t="shared" si="61"/>
        <v>332.74452306495471</v>
      </c>
      <c r="M77" s="250">
        <f t="shared" si="61"/>
        <v>332.80693441180483</v>
      </c>
      <c r="N77" s="241">
        <f t="shared" si="61"/>
        <v>332.86934575865507</v>
      </c>
      <c r="O77" s="256">
        <f t="shared" si="61"/>
        <v>332.93175710550526</v>
      </c>
    </row>
    <row r="78" spans="1:30" x14ac:dyDescent="0.35">
      <c r="A78" s="293"/>
      <c r="B78" s="2" t="s">
        <v>9</v>
      </c>
      <c r="C78" s="3" t="s">
        <v>74</v>
      </c>
      <c r="D78" s="235">
        <f>D$63*D$57*(1-D$74)</f>
        <v>445.51646183738234</v>
      </c>
      <c r="E78" s="251">
        <f>E$63*E$57*(1-E$74)</f>
        <v>1086.5490382776677</v>
      </c>
      <c r="F78" s="242">
        <f>F$63*F$57*(1-F$74)</f>
        <v>1107.1463929014433</v>
      </c>
      <c r="G78" s="251">
        <f>G$63*G$57*(1-G$74)</f>
        <v>609.31191877098934</v>
      </c>
      <c r="H78" s="242">
        <f t="shared" ref="H78:O78" si="62">H$63*H$57*(1-H$74)</f>
        <v>332.46637649582567</v>
      </c>
      <c r="I78" s="251">
        <f t="shared" si="62"/>
        <v>332.5287878426758</v>
      </c>
      <c r="J78" s="242">
        <f t="shared" si="62"/>
        <v>332.59119918952598</v>
      </c>
      <c r="K78" s="251">
        <f t="shared" si="62"/>
        <v>332.65361053637622</v>
      </c>
      <c r="L78" s="242">
        <f t="shared" si="62"/>
        <v>332.7160218832264</v>
      </c>
      <c r="M78" s="251">
        <f t="shared" si="62"/>
        <v>332.77843323007659</v>
      </c>
      <c r="N78" s="242">
        <f t="shared" si="62"/>
        <v>332.84084457692683</v>
      </c>
      <c r="O78" s="257">
        <f t="shared" si="62"/>
        <v>332.90325592377701</v>
      </c>
    </row>
    <row r="79" spans="1:30" x14ac:dyDescent="0.35">
      <c r="A79" s="293"/>
      <c r="B79" s="12" t="s">
        <v>10</v>
      </c>
      <c r="C79" s="3" t="s">
        <v>74</v>
      </c>
      <c r="D79" s="236">
        <f>D69*D73*(1-D$74)</f>
        <v>3754.7169739208748</v>
      </c>
      <c r="E79" s="252">
        <f>E69*E73*(1-E$74)</f>
        <v>3898.4786598592923</v>
      </c>
      <c r="F79" s="243">
        <f>F69*F73*(1-F$74)</f>
        <v>5637.713174055375</v>
      </c>
      <c r="G79" s="252">
        <f>G69*G73</f>
        <v>332.47994890213874</v>
      </c>
      <c r="H79" s="243">
        <f t="shared" ref="H79:O79" si="63">H69*H73</f>
        <v>341.32852417589072</v>
      </c>
      <c r="I79" s="252">
        <f>I69*I73</f>
        <v>350.17709944964264</v>
      </c>
      <c r="J79" s="247">
        <f t="shared" si="63"/>
        <v>359.02567472339467</v>
      </c>
      <c r="K79" s="255">
        <f t="shared" si="63"/>
        <v>367.87424999714659</v>
      </c>
      <c r="L79" s="247">
        <f t="shared" si="63"/>
        <v>376.72282527089862</v>
      </c>
      <c r="M79" s="255">
        <f t="shared" si="63"/>
        <v>385.57140054465054</v>
      </c>
      <c r="N79" s="247">
        <f t="shared" si="63"/>
        <v>394.41997581840258</v>
      </c>
      <c r="O79" s="258">
        <f t="shared" si="63"/>
        <v>402.30073817158791</v>
      </c>
    </row>
    <row r="80" spans="1:30" ht="15" thickBot="1" x14ac:dyDescent="0.4">
      <c r="A80" s="294"/>
      <c r="B80" s="13" t="s">
        <v>11</v>
      </c>
      <c r="C80" s="14" t="s">
        <v>74</v>
      </c>
      <c r="D80" s="237">
        <f>SUM(D77:D79)</f>
        <v>4802.2703278822273</v>
      </c>
      <c r="E80" s="253">
        <f t="shared" ref="E80:O80" si="64">SUM(E77:E79)</f>
        <v>6081.0699554421299</v>
      </c>
      <c r="F80" s="244">
        <f t="shared" si="64"/>
        <v>7852.1009637973557</v>
      </c>
      <c r="G80" s="253">
        <f>SUM(G77:G79)</f>
        <v>1551.1560386106194</v>
      </c>
      <c r="H80" s="244">
        <f t="shared" si="64"/>
        <v>1006.2897783492703</v>
      </c>
      <c r="I80" s="253">
        <f t="shared" si="64"/>
        <v>1015.2631763167226</v>
      </c>
      <c r="J80" s="244">
        <f t="shared" si="64"/>
        <v>1024.2365742841748</v>
      </c>
      <c r="K80" s="253">
        <f t="shared" si="64"/>
        <v>1033.2099722516273</v>
      </c>
      <c r="L80" s="244">
        <f t="shared" si="64"/>
        <v>1042.1833702190797</v>
      </c>
      <c r="M80" s="253">
        <f t="shared" si="64"/>
        <v>1051.156768186532</v>
      </c>
      <c r="N80" s="244">
        <f t="shared" si="64"/>
        <v>1060.1301661539846</v>
      </c>
      <c r="O80" s="259">
        <f t="shared" si="64"/>
        <v>1068.1357512008701</v>
      </c>
    </row>
    <row r="81" spans="1:15" x14ac:dyDescent="0.35">
      <c r="A81" s="292" t="s">
        <v>12</v>
      </c>
      <c r="B81" s="10" t="s">
        <v>8</v>
      </c>
      <c r="C81" s="11" t="s">
        <v>74</v>
      </c>
      <c r="D81" s="238">
        <f>D$62*D$60*(1-D$75)</f>
        <v>20.469341448298373</v>
      </c>
      <c r="E81" s="254">
        <f>E$62*E$60*(1-E$75)</f>
        <v>37.288880452009408</v>
      </c>
      <c r="F81" s="245">
        <f>F$62*F$60*(1-F$75)</f>
        <v>37.712659984946356</v>
      </c>
      <c r="G81" s="254">
        <f t="shared" ref="G81:O81" si="65">G$62*G$60*(1-G$75)</f>
        <v>20.778687538411209</v>
      </c>
      <c r="H81" s="245">
        <f t="shared" si="65"/>
        <v>11.344846930413327</v>
      </c>
      <c r="I81" s="254">
        <f t="shared" si="65"/>
        <v>11.350856401689985</v>
      </c>
      <c r="J81" s="245">
        <f t="shared" si="65"/>
        <v>11.356865872966647</v>
      </c>
      <c r="K81" s="254">
        <f t="shared" si="65"/>
        <v>11.362875344243308</v>
      </c>
      <c r="L81" s="245">
        <f t="shared" si="65"/>
        <v>11.368884815519969</v>
      </c>
      <c r="M81" s="254">
        <f t="shared" si="65"/>
        <v>11.37489428679663</v>
      </c>
      <c r="N81" s="245">
        <f t="shared" si="65"/>
        <v>11.380903758073291</v>
      </c>
      <c r="O81" s="260">
        <f t="shared" si="65"/>
        <v>11.386913229349954</v>
      </c>
    </row>
    <row r="82" spans="1:15" x14ac:dyDescent="0.35">
      <c r="A82" s="293"/>
      <c r="B82" s="2" t="s">
        <v>9</v>
      </c>
      <c r="C82" s="3" t="s">
        <v>74</v>
      </c>
      <c r="D82" s="235">
        <f>D$63*D$61*(1-D$75)</f>
        <v>15.147850323641054</v>
      </c>
      <c r="E82" s="251">
        <f>E$63*E$61*(1-E$75)</f>
        <v>36.9604592653494</v>
      </c>
      <c r="F82" s="242">
        <f>F$63*F$61*(1-F$75)</f>
        <v>37.703512234225222</v>
      </c>
      <c r="G82" s="251">
        <f t="shared" ref="G82:O82" si="66">G$63*G$61*(1-G$75)</f>
        <v>20.773656275514579</v>
      </c>
      <c r="H82" s="242">
        <f t="shared" si="66"/>
        <v>11.342102605196983</v>
      </c>
      <c r="I82" s="251">
        <f t="shared" si="66"/>
        <v>11.348112076473644</v>
      </c>
      <c r="J82" s="242">
        <f t="shared" si="66"/>
        <v>11.354121547750303</v>
      </c>
      <c r="K82" s="251">
        <f t="shared" si="66"/>
        <v>11.360131019026964</v>
      </c>
      <c r="L82" s="242">
        <f t="shared" si="66"/>
        <v>11.36614049030363</v>
      </c>
      <c r="M82" s="251">
        <f t="shared" si="66"/>
        <v>11.372149961580291</v>
      </c>
      <c r="N82" s="242">
        <f t="shared" si="66"/>
        <v>11.37815943285695</v>
      </c>
      <c r="O82" s="257">
        <f t="shared" si="66"/>
        <v>11.38416890413361</v>
      </c>
    </row>
    <row r="83" spans="1:15" x14ac:dyDescent="0.35">
      <c r="A83" s="293"/>
      <c r="B83" s="12" t="s">
        <v>10</v>
      </c>
      <c r="C83" s="3" t="s">
        <v>74</v>
      </c>
      <c r="D83" s="236">
        <f>D72*D73*(1-D$75)</f>
        <v>104.13849837906209</v>
      </c>
      <c r="E83" s="252">
        <f>E72*E73*(1-E$75)</f>
        <v>108.12578322690922</v>
      </c>
      <c r="F83" s="243">
        <f>F72*F73*(1-F$75)</f>
        <v>156.3641116802736</v>
      </c>
      <c r="G83" s="252">
        <f t="shared" ref="G83" si="67">G72*G73</f>
        <v>16.623997445106937</v>
      </c>
      <c r="H83" s="246">
        <f t="shared" ref="H83:O83" si="68">H72*H73</f>
        <v>18.035555881634036</v>
      </c>
      <c r="I83" s="252">
        <f t="shared" si="68"/>
        <v>19.447114318161134</v>
      </c>
      <c r="J83" s="247">
        <f t="shared" si="68"/>
        <v>20.858672754688236</v>
      </c>
      <c r="K83" s="255">
        <f t="shared" si="68"/>
        <v>22.270231191215338</v>
      </c>
      <c r="L83" s="247">
        <f t="shared" si="68"/>
        <v>23.681789627742436</v>
      </c>
      <c r="M83" s="255">
        <f t="shared" si="68"/>
        <v>25.093348064269534</v>
      </c>
      <c r="N83" s="247">
        <f t="shared" si="68"/>
        <v>26.504906500796633</v>
      </c>
      <c r="O83" s="258">
        <f t="shared" si="68"/>
        <v>27.762075733328583</v>
      </c>
    </row>
    <row r="84" spans="1:15" ht="15" thickBot="1" x14ac:dyDescent="0.4">
      <c r="A84" s="294"/>
      <c r="B84" s="13" t="s">
        <v>11</v>
      </c>
      <c r="C84" s="14" t="s">
        <v>74</v>
      </c>
      <c r="D84" s="237">
        <f t="shared" ref="D84:K84" si="69">SUM(D81:D83)</f>
        <v>139.75569015100152</v>
      </c>
      <c r="E84" s="253">
        <f t="shared" si="69"/>
        <v>182.37512294426801</v>
      </c>
      <c r="F84" s="244">
        <f t="shared" si="69"/>
        <v>231.78028389944518</v>
      </c>
      <c r="G84" s="253">
        <f t="shared" si="69"/>
        <v>58.176341259032725</v>
      </c>
      <c r="H84" s="244">
        <f t="shared" si="69"/>
        <v>40.722505417244349</v>
      </c>
      <c r="I84" s="253">
        <f t="shared" si="69"/>
        <v>42.146082796324762</v>
      </c>
      <c r="J84" s="244">
        <f t="shared" si="69"/>
        <v>43.56966017540519</v>
      </c>
      <c r="K84" s="253">
        <f t="shared" si="69"/>
        <v>44.99323755448561</v>
      </c>
      <c r="L84" s="244">
        <f t="shared" ref="L84:O84" si="70">SUM(L81:L83)</f>
        <v>46.41681493356603</v>
      </c>
      <c r="M84" s="253">
        <f t="shared" si="70"/>
        <v>47.840392312646458</v>
      </c>
      <c r="N84" s="244">
        <f t="shared" si="70"/>
        <v>49.263969691726871</v>
      </c>
      <c r="O84" s="259">
        <f t="shared" si="70"/>
        <v>50.533157866812147</v>
      </c>
    </row>
    <row r="85" spans="1:15" x14ac:dyDescent="0.35">
      <c r="G85" s="55"/>
    </row>
    <row r="86" spans="1:15" ht="15" thickBot="1" x14ac:dyDescent="0.4">
      <c r="D86" s="1"/>
      <c r="L86" s="3" t="s">
        <v>74</v>
      </c>
      <c r="M86" s="3" t="s">
        <v>16</v>
      </c>
    </row>
    <row r="87" spans="1:15" x14ac:dyDescent="0.35">
      <c r="D87" s="17" t="s">
        <v>77</v>
      </c>
      <c r="E87" s="18"/>
      <c r="F87" s="18"/>
      <c r="G87" s="18"/>
      <c r="H87" s="18"/>
      <c r="I87" s="18"/>
      <c r="J87" s="18"/>
      <c r="K87" s="18"/>
      <c r="L87" s="225">
        <f>SUM(D34:O34)</f>
        <v>35805.422812958263</v>
      </c>
      <c r="M87" s="226">
        <f>CONVERT(L87,"lbm","ton")</f>
        <v>17.902711406479131</v>
      </c>
      <c r="O87" s="26"/>
    </row>
    <row r="88" spans="1:15" ht="15" customHeight="1" x14ac:dyDescent="0.35">
      <c r="D88" s="19" t="s">
        <v>78</v>
      </c>
      <c r="E88" s="20"/>
      <c r="F88" s="20"/>
      <c r="G88" s="20"/>
      <c r="H88" s="20"/>
      <c r="I88" s="20"/>
      <c r="J88" s="20"/>
      <c r="K88" s="20"/>
      <c r="L88" s="227">
        <f>SUM(D80:O80)</f>
        <v>28587.202842694587</v>
      </c>
      <c r="M88" s="228">
        <f t="shared" ref="M88:M89" si="71">CONVERT(L88,"lbm","ton")</f>
        <v>14.293601421347295</v>
      </c>
      <c r="O88" s="26"/>
    </row>
    <row r="89" spans="1:15" ht="15" thickBot="1" x14ac:dyDescent="0.4">
      <c r="D89" s="21" t="s">
        <v>79</v>
      </c>
      <c r="E89" s="22"/>
      <c r="F89" s="22"/>
      <c r="G89" s="22"/>
      <c r="H89" s="22"/>
      <c r="I89" s="22"/>
      <c r="J89" s="22"/>
      <c r="K89" s="22"/>
      <c r="L89" s="229">
        <f>L88-L87</f>
        <v>-7218.2199702636753</v>
      </c>
      <c r="M89" s="230">
        <f t="shared" si="71"/>
        <v>-3.609109985131838</v>
      </c>
      <c r="O89" s="26"/>
    </row>
    <row r="90" spans="1:15" ht="15" thickBot="1" x14ac:dyDescent="0.4">
      <c r="D90" s="23"/>
      <c r="E90" s="2"/>
      <c r="F90" s="2"/>
      <c r="G90" s="2"/>
      <c r="H90" s="2"/>
      <c r="I90" s="24"/>
      <c r="J90" s="2"/>
      <c r="K90" s="24"/>
      <c r="L90" s="25"/>
      <c r="M90" s="26"/>
    </row>
    <row r="91" spans="1:15" x14ac:dyDescent="0.35">
      <c r="D91" s="17" t="s">
        <v>17</v>
      </c>
      <c r="E91" s="27"/>
      <c r="F91" s="27"/>
      <c r="G91" s="27"/>
      <c r="H91" s="27"/>
      <c r="I91" s="27"/>
      <c r="J91" s="27"/>
      <c r="K91" s="27"/>
      <c r="L91" s="225">
        <f>SUM(D38:O38)</f>
        <v>1004.8294692754188</v>
      </c>
      <c r="M91" s="226">
        <f t="shared" ref="M91:M93" si="72">CONVERT(L91,"lbm","ton")</f>
        <v>0.50241473463770936</v>
      </c>
      <c r="O91" s="26"/>
    </row>
    <row r="92" spans="1:15" x14ac:dyDescent="0.35">
      <c r="D92" s="19" t="s">
        <v>38</v>
      </c>
      <c r="E92" s="20"/>
      <c r="F92" s="20"/>
      <c r="G92" s="20"/>
      <c r="H92" s="20"/>
      <c r="I92" s="20"/>
      <c r="J92" s="20"/>
      <c r="K92" s="20"/>
      <c r="L92" s="227">
        <f>SUM(D84:O84)</f>
        <v>977.57325900195883</v>
      </c>
      <c r="M92" s="228">
        <f t="shared" si="72"/>
        <v>0.48878662950097945</v>
      </c>
      <c r="O92" s="26"/>
    </row>
    <row r="93" spans="1:15" ht="15" thickBot="1" x14ac:dyDescent="0.4">
      <c r="D93" s="21" t="s">
        <v>18</v>
      </c>
      <c r="E93" s="22"/>
      <c r="F93" s="22"/>
      <c r="G93" s="22"/>
      <c r="H93" s="22"/>
      <c r="I93" s="22"/>
      <c r="J93" s="22"/>
      <c r="K93" s="22"/>
      <c r="L93" s="231">
        <f>L92-L91</f>
        <v>-27.256210273459942</v>
      </c>
      <c r="M93" s="230">
        <f t="shared" si="72"/>
        <v>-1.3628105136729971E-2</v>
      </c>
      <c r="O93" s="26"/>
    </row>
    <row r="95" spans="1:15" ht="15.5" x14ac:dyDescent="0.35">
      <c r="D95" s="34" t="s">
        <v>64</v>
      </c>
    </row>
    <row r="97" spans="4:14" ht="16.5" x14ac:dyDescent="0.35">
      <c r="E97" s="4" t="s">
        <v>83</v>
      </c>
      <c r="F97" s="4" t="s">
        <v>85</v>
      </c>
      <c r="G97" s="4" t="s">
        <v>87</v>
      </c>
    </row>
    <row r="98" spans="4:14" ht="15" thickBot="1" x14ac:dyDescent="0.4">
      <c r="D98" s="38" t="s">
        <v>28</v>
      </c>
      <c r="E98" s="37">
        <v>1984</v>
      </c>
      <c r="F98" s="4">
        <v>4</v>
      </c>
      <c r="G98" s="4">
        <v>4</v>
      </c>
      <c r="I98" s="44" t="s">
        <v>30</v>
      </c>
      <c r="J98" s="45" t="s">
        <v>23</v>
      </c>
      <c r="K98" s="44" t="s">
        <v>30</v>
      </c>
      <c r="L98" s="45" t="s">
        <v>24</v>
      </c>
    </row>
    <row r="99" spans="4:14" ht="15" thickBot="1" x14ac:dyDescent="0.4">
      <c r="D99" s="32" t="s">
        <v>6</v>
      </c>
      <c r="E99" s="31" t="s">
        <v>20</v>
      </c>
      <c r="F99" s="31" t="s">
        <v>20</v>
      </c>
      <c r="G99" s="31" t="s">
        <v>20</v>
      </c>
      <c r="I99" s="268">
        <v>1984</v>
      </c>
      <c r="J99" s="269">
        <f>11</f>
        <v>11</v>
      </c>
      <c r="K99" s="270">
        <v>1984</v>
      </c>
      <c r="L99" s="271">
        <f>0.53</f>
        <v>0.53</v>
      </c>
      <c r="M99" s="61"/>
      <c r="N99" s="33"/>
    </row>
    <row r="100" spans="4:14" ht="16.5" x14ac:dyDescent="0.45">
      <c r="D100" s="28" t="s">
        <v>58</v>
      </c>
      <c r="E100" s="272">
        <f>J99*F148</f>
        <v>10.3675</v>
      </c>
      <c r="F100" s="272">
        <v>1.04</v>
      </c>
      <c r="G100" s="272">
        <v>1.04</v>
      </c>
    </row>
    <row r="101" spans="4:14" x14ac:dyDescent="0.35">
      <c r="D101" s="28" t="s">
        <v>31</v>
      </c>
      <c r="E101" s="272">
        <f>_xlfn.XLOOKUP(E98,$K$99:$K$99,$L$99:$L$99)*F149</f>
        <v>0.42463600000000001</v>
      </c>
      <c r="F101" s="272">
        <v>0.03</v>
      </c>
      <c r="G101" s="273">
        <f>0.03*(1-0.85)</f>
        <v>4.5000000000000005E-3</v>
      </c>
      <c r="I101" s="267" t="s">
        <v>82</v>
      </c>
    </row>
    <row r="102" spans="4:14" x14ac:dyDescent="0.35">
      <c r="D102" s="39" t="s">
        <v>80</v>
      </c>
    </row>
    <row r="103" spans="4:14" ht="15" x14ac:dyDescent="0.35">
      <c r="D103" s="39" t="s">
        <v>84</v>
      </c>
    </row>
    <row r="104" spans="4:14" ht="15" x14ac:dyDescent="0.35">
      <c r="D104" s="39" t="s">
        <v>86</v>
      </c>
    </row>
    <row r="105" spans="4:14" ht="15" x14ac:dyDescent="0.35">
      <c r="D105" s="39" t="s">
        <v>88</v>
      </c>
    </row>
    <row r="107" spans="4:14" x14ac:dyDescent="0.35">
      <c r="D107" t="s">
        <v>59</v>
      </c>
    </row>
    <row r="147" spans="4:9" x14ac:dyDescent="0.35">
      <c r="D147" s="63" t="s">
        <v>56</v>
      </c>
    </row>
    <row r="148" spans="4:9" ht="16.5" x14ac:dyDescent="0.45">
      <c r="D148" s="39"/>
      <c r="E148" s="2" t="s">
        <v>19</v>
      </c>
      <c r="F148">
        <v>0.9425</v>
      </c>
      <c r="I148" s="275"/>
    </row>
    <row r="149" spans="4:9" x14ac:dyDescent="0.35">
      <c r="D149" s="39"/>
      <c r="E149" s="2" t="s">
        <v>12</v>
      </c>
      <c r="F149">
        <v>0.80120000000000002</v>
      </c>
    </row>
    <row r="150" spans="4:9" x14ac:dyDescent="0.35">
      <c r="D150" s="39"/>
      <c r="I150" s="276"/>
    </row>
    <row r="151" spans="4:9" x14ac:dyDescent="0.35">
      <c r="D151" s="39"/>
      <c r="E151" s="39" t="s">
        <v>57</v>
      </c>
      <c r="I151" s="276"/>
    </row>
    <row r="152" spans="4:9" x14ac:dyDescent="0.35">
      <c r="D152" s="39"/>
      <c r="F152" s="275"/>
      <c r="I152" s="276"/>
    </row>
    <row r="153" spans="4:9" x14ac:dyDescent="0.35">
      <c r="D153" s="39"/>
      <c r="I153" s="276"/>
    </row>
    <row r="154" spans="4:9" x14ac:dyDescent="0.35">
      <c r="D154" s="39"/>
      <c r="I154" s="276"/>
    </row>
    <row r="155" spans="4:9" x14ac:dyDescent="0.35">
      <c r="D155" s="39"/>
      <c r="I155" s="276"/>
    </row>
    <row r="156" spans="4:9" x14ac:dyDescent="0.35">
      <c r="D156" s="39"/>
      <c r="I156" s="276"/>
    </row>
    <row r="157" spans="4:9" x14ac:dyDescent="0.35">
      <c r="D157" s="39"/>
      <c r="I157" s="276"/>
    </row>
    <row r="158" spans="4:9" x14ac:dyDescent="0.35">
      <c r="D158" s="39"/>
      <c r="I158" s="276"/>
    </row>
    <row r="159" spans="4:9" x14ac:dyDescent="0.35">
      <c r="D159" s="39"/>
      <c r="I159" s="276"/>
    </row>
    <row r="160" spans="4:9" x14ac:dyDescent="0.35">
      <c r="D160" s="39"/>
      <c r="I160" s="276"/>
    </row>
    <row r="161" spans="4:9" x14ac:dyDescent="0.35">
      <c r="D161" s="39"/>
      <c r="I161" s="276"/>
    </row>
    <row r="162" spans="4:9" x14ac:dyDescent="0.35">
      <c r="D162" s="63" t="s">
        <v>46</v>
      </c>
      <c r="I162" s="276"/>
    </row>
    <row r="163" spans="4:9" x14ac:dyDescent="0.35">
      <c r="D163" s="39"/>
      <c r="I163" s="276"/>
    </row>
    <row r="164" spans="4:9" ht="16.5" x14ac:dyDescent="0.45">
      <c r="D164" s="39"/>
      <c r="E164" s="2" t="s">
        <v>19</v>
      </c>
      <c r="F164">
        <v>0.21</v>
      </c>
      <c r="H164" t="s">
        <v>22</v>
      </c>
      <c r="I164" s="275"/>
    </row>
    <row r="165" spans="4:9" x14ac:dyDescent="0.35">
      <c r="D165" s="39"/>
      <c r="E165" s="2" t="s">
        <v>12</v>
      </c>
      <c r="F165">
        <v>0.67</v>
      </c>
      <c r="H165" t="s">
        <v>22</v>
      </c>
    </row>
    <row r="166" spans="4:9" x14ac:dyDescent="0.35">
      <c r="D166" s="39"/>
      <c r="E166" s="2" t="s">
        <v>47</v>
      </c>
      <c r="F166">
        <v>12625</v>
      </c>
      <c r="H166" t="s">
        <v>22</v>
      </c>
    </row>
    <row r="167" spans="4:9" x14ac:dyDescent="0.35">
      <c r="D167" s="39"/>
    </row>
    <row r="168" spans="4:9" x14ac:dyDescent="0.35">
      <c r="D168" s="39"/>
      <c r="E168" s="39" t="s">
        <v>48</v>
      </c>
    </row>
    <row r="169" spans="4:9" x14ac:dyDescent="0.35">
      <c r="D169" s="39"/>
      <c r="E169" s="39" t="s">
        <v>55</v>
      </c>
    </row>
    <row r="170" spans="4:9" x14ac:dyDescent="0.35">
      <c r="D170" s="39"/>
    </row>
    <row r="171" spans="4:9" x14ac:dyDescent="0.35">
      <c r="D171" s="39"/>
    </row>
    <row r="172" spans="4:9" x14ac:dyDescent="0.35">
      <c r="D172" s="39"/>
    </row>
    <row r="173" spans="4:9" x14ac:dyDescent="0.35">
      <c r="D173" s="39"/>
    </row>
    <row r="174" spans="4:9" x14ac:dyDescent="0.35">
      <c r="D174" s="39"/>
    </row>
    <row r="175" spans="4:9" x14ac:dyDescent="0.35">
      <c r="D175" s="39"/>
    </row>
    <row r="176" spans="4:9" x14ac:dyDescent="0.35">
      <c r="D176" s="39"/>
    </row>
    <row r="177" spans="4:4" x14ac:dyDescent="0.35">
      <c r="D177" s="39"/>
    </row>
    <row r="178" spans="4:4" x14ac:dyDescent="0.35">
      <c r="D178" s="39"/>
    </row>
    <row r="179" spans="4:4" x14ac:dyDescent="0.35">
      <c r="D179" s="39"/>
    </row>
    <row r="180" spans="4:4" x14ac:dyDescent="0.35">
      <c r="D180" s="39"/>
    </row>
    <row r="181" spans="4:4" x14ac:dyDescent="0.35">
      <c r="D181" s="39"/>
    </row>
    <row r="182" spans="4:4" x14ac:dyDescent="0.35">
      <c r="D182" s="39"/>
    </row>
    <row r="183" spans="4:4" x14ac:dyDescent="0.35">
      <c r="D183" s="39"/>
    </row>
    <row r="184" spans="4:4" x14ac:dyDescent="0.35">
      <c r="D184" s="39"/>
    </row>
    <row r="185" spans="4:4" x14ac:dyDescent="0.35">
      <c r="D185" s="39"/>
    </row>
    <row r="186" spans="4:4" x14ac:dyDescent="0.35">
      <c r="D186" s="39"/>
    </row>
    <row r="187" spans="4:4" x14ac:dyDescent="0.35">
      <c r="D187" s="39"/>
    </row>
    <row r="188" spans="4:4" x14ac:dyDescent="0.35">
      <c r="D188" s="39"/>
    </row>
    <row r="189" spans="4:4" x14ac:dyDescent="0.35">
      <c r="D189" s="39"/>
    </row>
    <row r="190" spans="4:4" x14ac:dyDescent="0.35">
      <c r="D190" s="39"/>
    </row>
    <row r="191" spans="4:4" x14ac:dyDescent="0.35">
      <c r="D191" s="39"/>
    </row>
    <row r="192" spans="4:4" x14ac:dyDescent="0.35">
      <c r="D192" s="39"/>
    </row>
    <row r="193" spans="4:15" x14ac:dyDescent="0.35">
      <c r="D193" s="39"/>
    </row>
    <row r="194" spans="4:15" x14ac:dyDescent="0.35">
      <c r="D194" s="39"/>
    </row>
    <row r="195" spans="4:15" x14ac:dyDescent="0.35">
      <c r="D195" s="39"/>
    </row>
    <row r="196" spans="4:15" x14ac:dyDescent="0.35">
      <c r="D196" s="39"/>
    </row>
    <row r="197" spans="4:15" x14ac:dyDescent="0.35">
      <c r="D197" s="39"/>
    </row>
    <row r="198" spans="4:15" x14ac:dyDescent="0.35">
      <c r="D198" s="40" t="s">
        <v>32</v>
      </c>
    </row>
    <row r="199" spans="4:15" ht="16.5" x14ac:dyDescent="0.35">
      <c r="D199" s="41" t="s">
        <v>33</v>
      </c>
    </row>
    <row r="200" spans="4:15" x14ac:dyDescent="0.35">
      <c r="D200" s="40"/>
    </row>
    <row r="201" spans="4:15" ht="15" customHeight="1" thickBot="1" x14ac:dyDescent="0.4">
      <c r="D201" t="s">
        <v>34</v>
      </c>
      <c r="E201" s="263"/>
      <c r="F201" s="263"/>
      <c r="G201" s="263"/>
      <c r="H201" s="263"/>
      <c r="I201" s="263"/>
      <c r="J201" s="263"/>
      <c r="L201" s="263"/>
      <c r="M201" s="263"/>
      <c r="N201" s="263"/>
      <c r="O201" s="263"/>
    </row>
    <row r="202" spans="4:15" ht="15" thickBot="1" x14ac:dyDescent="0.4">
      <c r="D202" s="41"/>
      <c r="E202" s="40"/>
      <c r="F202" s="47" t="s">
        <v>23</v>
      </c>
      <c r="G202" s="64">
        <f>AVERAGE(14,13,12,11,11)</f>
        <v>12.2</v>
      </c>
      <c r="H202" s="49" t="s">
        <v>36</v>
      </c>
      <c r="I202" s="48"/>
      <c r="J202" s="50"/>
      <c r="L202" s="40"/>
      <c r="M202" s="40"/>
      <c r="N202" s="40"/>
      <c r="O202" s="40"/>
    </row>
    <row r="203" spans="4:15" ht="4.5" customHeight="1" thickBot="1" x14ac:dyDescent="0.4">
      <c r="D203" s="41"/>
      <c r="E203" s="40"/>
      <c r="F203" s="40"/>
      <c r="G203" s="40"/>
      <c r="H203" s="46"/>
      <c r="I203" s="40"/>
      <c r="J203" s="40"/>
      <c r="L203" s="40"/>
      <c r="M203" s="40"/>
      <c r="N203" s="40"/>
      <c r="O203" s="40"/>
    </row>
    <row r="204" spans="4:15" ht="15" thickBot="1" x14ac:dyDescent="0.4">
      <c r="D204" s="41"/>
      <c r="E204" s="40"/>
      <c r="F204" s="51" t="s">
        <v>12</v>
      </c>
      <c r="G204" s="65">
        <f>AVERAGE(0.74,0.63,0.53,0.53,0.53)</f>
        <v>0.59199999999999997</v>
      </c>
      <c r="H204" s="52" t="s">
        <v>35</v>
      </c>
      <c r="I204" s="53"/>
      <c r="J204" s="54"/>
      <c r="L204" s="40"/>
      <c r="M204" s="40"/>
      <c r="N204" s="40"/>
      <c r="O204" s="40"/>
    </row>
    <row r="205" spans="4:15" x14ac:dyDescent="0.35">
      <c r="D205" s="41"/>
      <c r="E205" s="40"/>
      <c r="F205" s="40"/>
      <c r="G205" s="40"/>
      <c r="H205" s="40"/>
      <c r="I205" s="43"/>
      <c r="J205" s="40"/>
      <c r="L205" s="40"/>
      <c r="M205" s="40"/>
      <c r="N205" s="262"/>
      <c r="O205" s="40"/>
    </row>
    <row r="206" spans="4:15" x14ac:dyDescent="0.35">
      <c r="D206" s="42" t="s">
        <v>29</v>
      </c>
    </row>
    <row r="207" spans="4:15" x14ac:dyDescent="0.35">
      <c r="D207" s="39"/>
    </row>
    <row r="208" spans="4:15" x14ac:dyDescent="0.35">
      <c r="D208" s="39"/>
    </row>
    <row r="209" spans="4:33" x14ac:dyDescent="0.35">
      <c r="D209" s="39"/>
    </row>
    <row r="210" spans="4:33" x14ac:dyDescent="0.35">
      <c r="D210" s="39"/>
    </row>
    <row r="211" spans="4:33" x14ac:dyDescent="0.35">
      <c r="D211" s="39"/>
    </row>
    <row r="212" spans="4:33" x14ac:dyDescent="0.35">
      <c r="D212" s="39"/>
    </row>
    <row r="213" spans="4:33" x14ac:dyDescent="0.35">
      <c r="D213" s="39"/>
    </row>
    <row r="214" spans="4:33" x14ac:dyDescent="0.35">
      <c r="D214" s="39"/>
    </row>
    <row r="215" spans="4:33" x14ac:dyDescent="0.35">
      <c r="D215" s="39"/>
    </row>
    <row r="216" spans="4:33" x14ac:dyDescent="0.35">
      <c r="D216" s="39"/>
    </row>
    <row r="217" spans="4:33" x14ac:dyDescent="0.35">
      <c r="D217" s="39"/>
    </row>
    <row r="218" spans="4:33" x14ac:dyDescent="0.35">
      <c r="D218" s="39"/>
    </row>
    <row r="219" spans="4:33" x14ac:dyDescent="0.35">
      <c r="D219" s="39"/>
    </row>
    <row r="220" spans="4:33" x14ac:dyDescent="0.35">
      <c r="D220" s="39"/>
    </row>
    <row r="221" spans="4:33" x14ac:dyDescent="0.35">
      <c r="D221" s="39"/>
      <c r="AD221" s="274"/>
      <c r="AE221" s="274"/>
      <c r="AF221" s="274"/>
      <c r="AG221" s="274"/>
    </row>
    <row r="222" spans="4:33" x14ac:dyDescent="0.35">
      <c r="D222" s="39"/>
    </row>
    <row r="223" spans="4:33" x14ac:dyDescent="0.35">
      <c r="D223" s="39"/>
    </row>
    <row r="224" spans="4:33" x14ac:dyDescent="0.35">
      <c r="D224" s="39"/>
    </row>
    <row r="225" spans="4:15" ht="15.5" x14ac:dyDescent="0.35">
      <c r="D225" s="34" t="s">
        <v>89</v>
      </c>
    </row>
    <row r="227" spans="4:15" x14ac:dyDescent="0.35">
      <c r="D227" s="63" t="s">
        <v>81</v>
      </c>
    </row>
    <row r="228" spans="4:15" x14ac:dyDescent="0.35">
      <c r="E228" s="2" t="s">
        <v>43</v>
      </c>
      <c r="G228" s="264" t="s">
        <v>44</v>
      </c>
    </row>
    <row r="229" spans="4:15" ht="16.5" x14ac:dyDescent="0.45">
      <c r="E229" s="2" t="s">
        <v>19</v>
      </c>
      <c r="G229" s="33">
        <v>4.4000000000000004</v>
      </c>
      <c r="H229" t="s">
        <v>20</v>
      </c>
      <c r="I229" s="29" t="s">
        <v>22</v>
      </c>
      <c r="J229" s="291" t="s">
        <v>45</v>
      </c>
      <c r="K229" s="291"/>
      <c r="L229" s="291"/>
      <c r="M229" s="291"/>
      <c r="N229" s="291"/>
      <c r="O229" s="291"/>
    </row>
    <row r="230" spans="4:15" x14ac:dyDescent="0.35">
      <c r="E230" s="2" t="s">
        <v>12</v>
      </c>
      <c r="G230" s="265">
        <v>0.12</v>
      </c>
      <c r="H230" t="s">
        <v>20</v>
      </c>
      <c r="I230" s="29" t="s">
        <v>22</v>
      </c>
      <c r="J230" s="291" t="s">
        <v>45</v>
      </c>
      <c r="K230" s="291"/>
      <c r="L230" s="291"/>
      <c r="M230" s="291"/>
      <c r="N230" s="291"/>
      <c r="O230" s="291"/>
    </row>
    <row r="239" spans="4:15" x14ac:dyDescent="0.35">
      <c r="D239" s="63" t="s">
        <v>92</v>
      </c>
    </row>
    <row r="240" spans="4:15" ht="16.5" x14ac:dyDescent="0.45">
      <c r="E240" s="2" t="s">
        <v>19</v>
      </c>
      <c r="G240" s="33">
        <v>0.4</v>
      </c>
      <c r="H240" t="s">
        <v>42</v>
      </c>
      <c r="I240" s="29" t="s">
        <v>22</v>
      </c>
      <c r="J240" s="290" t="s">
        <v>21</v>
      </c>
      <c r="K240" s="290"/>
      <c r="L240" s="290"/>
      <c r="M240" s="290"/>
      <c r="N240" s="290"/>
      <c r="O240" s="290"/>
    </row>
    <row r="241" spans="4:15" x14ac:dyDescent="0.35">
      <c r="G241" s="33">
        <f>G240*0.7457</f>
        <v>0.29828000000000005</v>
      </c>
      <c r="H241" t="s">
        <v>20</v>
      </c>
      <c r="I241" t="s">
        <v>40</v>
      </c>
      <c r="J241" t="s">
        <v>41</v>
      </c>
      <c r="K241" s="266"/>
      <c r="L241" s="266"/>
      <c r="M241" s="266"/>
      <c r="N241" s="266"/>
      <c r="O241" s="266"/>
    </row>
    <row r="242" spans="4:15" x14ac:dyDescent="0.35">
      <c r="E242" s="2" t="s">
        <v>12</v>
      </c>
      <c r="G242" s="33">
        <v>0.02</v>
      </c>
      <c r="H242" t="s">
        <v>42</v>
      </c>
      <c r="I242" s="29" t="s">
        <v>22</v>
      </c>
      <c r="J242" s="290" t="s">
        <v>21</v>
      </c>
      <c r="K242" s="290"/>
      <c r="L242" s="290"/>
      <c r="M242" s="290"/>
      <c r="N242" s="290"/>
      <c r="O242" s="290"/>
    </row>
    <row r="243" spans="4:15" ht="14.4" customHeight="1" x14ac:dyDescent="0.35">
      <c r="G243" s="265">
        <f>G242*0.7457</f>
        <v>1.4914E-2</v>
      </c>
      <c r="H243" t="s">
        <v>20</v>
      </c>
      <c r="I243" t="s">
        <v>40</v>
      </c>
      <c r="J243" t="s">
        <v>41</v>
      </c>
      <c r="K243" s="266"/>
      <c r="L243" s="266"/>
      <c r="M243" s="266"/>
      <c r="N243" s="266"/>
      <c r="O243" s="266"/>
    </row>
    <row r="245" spans="4:15" x14ac:dyDescent="0.35">
      <c r="D245" s="1" t="s">
        <v>27</v>
      </c>
    </row>
    <row r="246" spans="4:15" x14ac:dyDescent="0.35">
      <c r="D246" s="1"/>
      <c r="E246" s="36" t="s">
        <v>39</v>
      </c>
    </row>
    <row r="247" spans="4:15" x14ac:dyDescent="0.35">
      <c r="D247" s="1"/>
    </row>
    <row r="248" spans="4:15" x14ac:dyDescent="0.35">
      <c r="D248" s="1"/>
    </row>
    <row r="249" spans="4:15" x14ac:dyDescent="0.35">
      <c r="D249" s="1"/>
    </row>
    <row r="250" spans="4:15" x14ac:dyDescent="0.35">
      <c r="D250" s="1"/>
      <c r="H250" s="30"/>
    </row>
    <row r="251" spans="4:15" x14ac:dyDescent="0.35">
      <c r="D251" s="1"/>
      <c r="H251" s="30"/>
    </row>
    <row r="253" spans="4:15" x14ac:dyDescent="0.35">
      <c r="E253" s="36"/>
    </row>
    <row r="266" spans="5:5" x14ac:dyDescent="0.35">
      <c r="E266" s="36"/>
    </row>
    <row r="301" spans="6:6" x14ac:dyDescent="0.35">
      <c r="F301" s="60"/>
    </row>
    <row r="302" spans="6:6" x14ac:dyDescent="0.35">
      <c r="F302" s="60"/>
    </row>
  </sheetData>
  <mergeCells count="16">
    <mergeCell ref="D47:O47"/>
    <mergeCell ref="D50:O50"/>
    <mergeCell ref="D64:O64"/>
    <mergeCell ref="D1:O1"/>
    <mergeCell ref="D30:O30"/>
    <mergeCell ref="A31:A34"/>
    <mergeCell ref="A35:A38"/>
    <mergeCell ref="D40:O43"/>
    <mergeCell ref="D4:O4"/>
    <mergeCell ref="D18:O18"/>
    <mergeCell ref="J242:O242"/>
    <mergeCell ref="J229:O229"/>
    <mergeCell ref="J240:O240"/>
    <mergeCell ref="J230:O230"/>
    <mergeCell ref="A77:A80"/>
    <mergeCell ref="A81:A84"/>
  </mergeCells>
  <dataValidations disablePrompts="1" count="1">
    <dataValidation type="list" allowBlank="1" showInputMessage="1" showErrorMessage="1" sqref="E98" xr:uid="{5AD556D2-FE68-40F4-9CDA-2A94652F5D33}">
      <formula1>TierSTD</formula1>
    </dataValidation>
  </dataValidations>
  <hyperlinks>
    <hyperlink ref="E246" r:id="rId1" xr:uid="{2D4303BA-EF88-4398-B56E-5951D520A666}"/>
    <hyperlink ref="D206" r:id="rId2" xr:uid="{3E01D1A1-6AE8-4632-AF67-B1134608AB05}"/>
    <hyperlink ref="J240" r:id="rId3" xr:uid="{EACCDCD2-E23C-4DD2-A4DE-152A5ADA4272}"/>
    <hyperlink ref="J242" r:id="rId4" xr:uid="{0ED4DD55-432B-4A0E-B500-564E63BE8230}"/>
    <hyperlink ref="J229" r:id="rId5" xr:uid="{252760D9-327F-4E62-BDB3-DF80C27E93D1}"/>
    <hyperlink ref="J230" r:id="rId6" xr:uid="{DE7C0D5B-EBFF-4475-8907-D952040EB21E}"/>
  </hyperlinks>
  <pageMargins left="0.25" right="0.25" top="0.75" bottom="0.75" header="0.3" footer="0.3"/>
  <pageSetup scale="49" fitToHeight="0" orientation="landscape" r:id="rId7"/>
  <headerFooter>
    <oddHeader>&amp;CAttachment 1 - Application for Alternative Control of Emissions (ACE) for the Commercial Harbor Craft Regulation
BAE Systems San Diego Ship Repair, Inc</oddHeader>
    <oddFooter>&amp;L&amp;D&amp;C&amp;P of &amp;N</oddFooter>
  </headerFooter>
  <rowBreaks count="4" manualBreakCount="4">
    <brk id="39" max="14" man="1"/>
    <brk id="93" max="14" man="1"/>
    <brk id="161" max="14" man="1"/>
    <brk id="224" max="14" man="1"/>
  </rowBreaks>
  <drawing r:id="rId8"/>
  <legacy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12638184A25C409E883660D89316D6" ma:contentTypeVersion="18" ma:contentTypeDescription="Create a new document." ma:contentTypeScope="" ma:versionID="2cc61fbf62f9ecedd64cdab2660773e1">
  <xsd:schema xmlns:xsd="http://www.w3.org/2001/XMLSchema" xmlns:xs="http://www.w3.org/2001/XMLSchema" xmlns:p="http://schemas.microsoft.com/office/2006/metadata/properties" xmlns:ns2="b6ddd3dd-a54b-4fbc-84a6-a974d4deb63c" xmlns:ns3="bf470b90-4247-43eb-82d5-fcfe6e00fdd8" targetNamespace="http://schemas.microsoft.com/office/2006/metadata/properties" ma:root="true" ma:fieldsID="117ba7466060245ffba2c054a85e166d" ns2:_="" ns3:_="">
    <xsd:import namespace="b6ddd3dd-a54b-4fbc-84a6-a974d4deb63c"/>
    <xsd:import namespace="bf470b90-4247-43eb-82d5-fcfe6e00fdd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ddd3dd-a54b-4fbc-84a6-a974d4deb63c"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5893544-f457-405b-a10c-2dd568636c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470b90-4247-43eb-82d5-fcfe6e00fdd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2ecbfea-1695-4f51-891b-05873597b296}" ma:internalName="TaxCatchAll" ma:showField="CatchAllData" ma:web="bf470b90-4247-43eb-82d5-fcfe6e00fd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ddd3dd-a54b-4fbc-84a6-a974d4deb63c">
      <Terms xmlns="http://schemas.microsoft.com/office/infopath/2007/PartnerControls"/>
    </lcf76f155ced4ddcb4097134ff3c332f>
    <TaxCatchAll xmlns="bf470b90-4247-43eb-82d5-fcfe6e00fdd8" xsi:nil="true"/>
  </documentManagement>
</p:properties>
</file>

<file path=customXml/itemProps1.xml><?xml version="1.0" encoding="utf-8"?>
<ds:datastoreItem xmlns:ds="http://schemas.openxmlformats.org/officeDocument/2006/customXml" ds:itemID="{599490EA-B322-41D8-92E1-4964DEAA8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ddd3dd-a54b-4fbc-84a6-a974d4deb63c"/>
    <ds:schemaRef ds:uri="bf470b90-4247-43eb-82d5-fcfe6e00fd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00C7CA-052B-4500-B17A-B1C890C4E76C}">
  <ds:schemaRefs>
    <ds:schemaRef ds:uri="http://schemas.microsoft.com/sharepoint/v3/contenttype/forms"/>
  </ds:schemaRefs>
</ds:datastoreItem>
</file>

<file path=customXml/itemProps3.xml><?xml version="1.0" encoding="utf-8"?>
<ds:datastoreItem xmlns:ds="http://schemas.openxmlformats.org/officeDocument/2006/customXml" ds:itemID="{F1F09D2B-1ACC-4003-AF2C-0BD65747642F}">
  <ds:schemaRefs>
    <ds:schemaRef ds:uri="http://www.w3.org/XML/1998/namespace"/>
    <ds:schemaRef ds:uri="http://purl.org/dc/elements/1.1/"/>
    <ds:schemaRef ds:uri="http://schemas.openxmlformats.org/package/2006/metadata/core-properties"/>
    <ds:schemaRef ds:uri="062458cd-92e6-4356-a9cc-5576259d2e80"/>
    <ds:schemaRef ds:uri="http://purl.org/dc/terms/"/>
    <ds:schemaRef ds:uri="http://schemas.microsoft.com/office/2006/documentManagement/types"/>
    <ds:schemaRef ds:uri="http://schemas.microsoft.com/office/infopath/2007/PartnerControls"/>
    <ds:schemaRef ds:uri="d1647e59-1c3a-4303-83e7-f72dd92fa552"/>
    <ds:schemaRef ds:uri="http://schemas.microsoft.com/office/2006/metadata/properties"/>
    <ds:schemaRef ds:uri="http://purl.org/dc/dcmitype/"/>
    <ds:schemaRef ds:uri="b6ddd3dd-a54b-4fbc-84a6-a974d4deb63c"/>
    <ds:schemaRef ds:uri="bf470b90-4247-43eb-82d5-fcfe6e00fdd8"/>
  </ds:schemaRefs>
</ds:datastoreItem>
</file>

<file path=docMetadata/LabelInfo.xml><?xml version="1.0" encoding="utf-8"?>
<clbl:labelList xmlns:clbl="http://schemas.microsoft.com/office/2020/mipLabelMetadata">
  <clbl:label id="{09c0489a-fc8c-4c0f-b981-b10463d2834b}" enabled="1" method="Privileged" siteId="{03b86c3a-8954-4d19-9522-e464fe9f22c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E_POSD_mid2026&amp;Crane(40_1600)</vt:lpstr>
      <vt:lpstr>'E_POSD_mid2026&amp;Crane(40_1600)'!Print_Area</vt:lpstr>
      <vt:lpstr>'E_POSD_mid2026&amp;Crane(40_1600)'!TierSTD</vt:lpstr>
      <vt:lpstr>Useful_Life</vt:lpstr>
    </vt:vector>
  </TitlesOfParts>
  <Company>BAE SYSTEMS,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Halvax, Shaun (US)</dc:creator>
  <cp:lastModifiedBy>Halvax, Shaun (US)</cp:lastModifiedBy>
  <dcterms:created xsi:type="dcterms:W3CDTF">2024-06-24T19:17:36Z</dcterms:created>
  <dcterms:modified xsi:type="dcterms:W3CDTF">2025-10-15T19:02:10Z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0x0101003A12638184A25C409E883660D89316D6</vt:lpwstr>
  </property>
  <property fmtid="{D5CDD505-2E9C-101B-9397-08002B2CF9AE}" pid="3" name="MediaServiceImageTags">
    <vt:lpwstr/>
  </property>
</Properties>
</file>